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 UNIDAD D\Daniel\DGE\DATOS\ESTADÍSTICAS\Fuente DGE\Prefinales 2020\10 Octubre\"/>
    </mc:Choice>
  </mc:AlternateContent>
  <bookViews>
    <workbookView xWindow="0" yWindow="0" windowWidth="20490" windowHeight="7755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(G)'!$N$43:$O$67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52511"/>
</workbook>
</file>

<file path=xl/calcChain.xml><?xml version="1.0" encoding="utf-8"?>
<calcChain xmlns="http://schemas.openxmlformats.org/spreadsheetml/2006/main">
  <c r="F58" i="6" l="1"/>
  <c r="I57" i="1" l="1"/>
  <c r="F57" i="1"/>
  <c r="H57" i="1" l="1"/>
  <c r="E57" i="1"/>
  <c r="G15" i="1" l="1"/>
  <c r="G12" i="1"/>
  <c r="F29" i="1" l="1"/>
  <c r="F12" i="1" l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31" i="2" s="1"/>
  <c r="G28" i="2"/>
  <c r="D28" i="2" l="1"/>
  <c r="D33" i="2"/>
  <c r="D32" i="2"/>
  <c r="D31" i="2" l="1"/>
  <c r="H28" i="2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S24" i="1"/>
  <c r="E29" i="1"/>
  <c r="R24" i="1" s="1"/>
  <c r="F25" i="1"/>
  <c r="E25" i="1"/>
  <c r="E16" i="1"/>
  <c r="D16" i="1"/>
  <c r="F13" i="1"/>
  <c r="F14" i="1"/>
  <c r="D56" i="6" s="1"/>
  <c r="F15" i="1"/>
  <c r="R25" i="1" l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25" i="1"/>
  <c r="G29" i="1"/>
  <c r="F32" i="1"/>
  <c r="E30" i="2" s="1"/>
  <c r="G13" i="1" l="1"/>
  <c r="D17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32" i="1"/>
  <c r="G14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<sst xmlns="http://schemas.openxmlformats.org/spreadsheetml/2006/main" count="308" uniqueCount="132">
  <si>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</si>
  <si>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</si>
  <si>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</si>
  <si>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</si>
  <si>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</si>
  <si>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</si>
  <si>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</si>
  <si>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</si>
  <si>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</si>
  <si>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</si>
  <si>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</si>
  <si>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</si>
  <si>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</si>
  <si>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</si>
  <si>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</si>
  <si>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</si>
  <si>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</si>
  <si>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</si>
  <si>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</si>
  <si>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</si>
  <si>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</si>
  <si>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</si>
  <si>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</si>
  <si>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</si>
  <si>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</si>
  <si>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</si>
  <si>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</si>
  <si>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</si>
  <si>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</si>
  <si>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</si>
  <si>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</si>
  <si>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</si>
  <si>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</si>
  <si>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</si>
  <si>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</si>
  <si>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</si>
  <si>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</si>
  <si>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</si>
  <si>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</si>
  <si>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</si>
  <si>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</si>
  <si>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</si>
  <si>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</si>
  <si>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</si>
  <si>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</si>
  <si>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</si>
  <si>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</si>
  <si>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</si>
  <si>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</si>
  <si>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</si>
  <si>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</si>
  <si>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</si>
  <si>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</si>
  <si>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</si>
  <si>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</si>
  <si>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</si>
  <si>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</si>
  <si>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</si>
  <si>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</si>
  <si>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</si>
  <si>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</si>
  <si>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</si>
  <si>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</si>
  <si>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</si>
  <si>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</si>
  <si>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</si>
  <si>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</si>
  <si>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</si>
  <si>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</si>
  <si>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</si>
  <si>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</si>
  <si>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</si>
  <si>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</si>
  <si>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</si>
  <si>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</si>
  <si>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</si>
  <si>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</si>
  <si>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</si>
  <si>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</si>
  <si>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</si>
  <si>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</si>
  <si>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</si>
  <si>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</si>
  <si>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</si>
  <si>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</si>
  <si>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</si>
  <si>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</si>
  <si>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</si>
  <si>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</si>
  <si>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</si>
  <si>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</si>
  <si>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</si>
  <si>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</si>
  <si>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</si>
  <si>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</si>
  <si>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</si>
  <si>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</si>
  <si>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</si>
  <si>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</si>
  <si>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</si>
  <si>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</si>
  <si>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</si>
  <si>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</si>
  <si>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</si>
  <si>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</si>
  <si>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</si>
  <si>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</si>
  <si>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</si>
  <si>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</si>
  <si>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</si>
  <si>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</si>
  <si>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</si>
  <si>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</si>
  <si>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</si>
  <si>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</si>
  <si>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Cuadro N° 2 : Producción de energía eléctrica nacional según sistema y mercado 2020 vs 2019</t>
  </si>
  <si>
    <t>Cuadro N° 3 : Producción de energía eléctrica nacional según  mercado 2020 vs 2019</t>
  </si>
  <si>
    <t>Cuadro N° 5: Producción de energía eléctrica nacional por tipo de recurso energético 2020 vs 2019</t>
  </si>
  <si>
    <t>Cuadro N° 6: Producción de energía eléctrica con Recurso Convencional y No Convencional 2020 vs 2019</t>
  </si>
  <si>
    <t>Cuadro N° 7: Producción de energía eléctrica según tipo de participación en el Mercado Eléctrico 2020 vs 2019</t>
  </si>
  <si>
    <t>3.1 Producción de energía eléctrica (GWh) nacional según zona 2020 vs 2019</t>
  </si>
  <si>
    <t>Cuadro N° 4 : Producción de energía eléctrica nacional según destino y recurso 2020 vs 2019</t>
  </si>
  <si>
    <t>Feb-19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</si>
  <si>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(1)</t>
    </r>
  </si>
  <si>
    <t>(1): Incluye información de Recursos Renovables No Convencionales de Aislados</t>
  </si>
  <si>
    <t>1. RESUMEN NACIONAL AL MES DE SETIEMBRE 2020</t>
  </si>
  <si>
    <t>Setiembre</t>
  </si>
  <si>
    <t>Enero - Setiembre</t>
  </si>
  <si>
    <t>Grafico N° 11: Generación de energía eléctrica por Región, al mes de setiembre 2020</t>
  </si>
  <si>
    <t>Cuadro N° 8: Producción de energía eléctrica nacional por zona del país, al mes de setiembre</t>
  </si>
  <si>
    <t>3.2 Producción de energía eléctrica (GWh) por origen y zona al mes de setiembre 2020</t>
  </si>
  <si>
    <t>Setiembre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</si>
</sst>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 * #,##0.00_ ;_ * \-#,##0.00_ ;_ * &quot;-&quot;??_ ;_ @_ "/>
    <numFmt numFmtId="164" formatCode="_-* #,##0.00_-;\-* #,##0.00_-;_-* &quot;-&quot;??_-;_-@_-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13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8" xfId="0" applyFill="1" applyBorder="1"/>
    <xf numFmtId="0" fontId="0" fillId="0" borderId="18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2" xfId="0" applyFont="1" applyBorder="1"/>
    <xf numFmtId="0" fontId="0" fillId="0" borderId="22" xfId="0" applyFont="1" applyFill="1" applyBorder="1"/>
    <xf numFmtId="1" fontId="0" fillId="0" borderId="22" xfId="0" applyNumberFormat="1" applyFont="1" applyFill="1" applyBorder="1"/>
    <xf numFmtId="1" fontId="0" fillId="0" borderId="22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9" fontId="96" fillId="0" borderId="30" xfId="33743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4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2" xfId="0" applyNumberFormat="1" applyFont="1" applyFill="1" applyBorder="1" applyAlignment="1">
      <alignment horizontal="center" vertical="center"/>
    </xf>
    <xf numFmtId="3" fontId="95" fillId="70" borderId="66" xfId="0" applyNumberFormat="1" applyFont="1" applyFill="1" applyBorder="1" applyAlignment="1">
      <alignment horizontal="center" vertical="center"/>
    </xf>
    <xf numFmtId="178" fontId="98" fillId="70" borderId="29" xfId="33743" applyNumberFormat="1" applyFont="1" applyFill="1" applyBorder="1" applyAlignment="1">
      <alignment horizontal="center" vertical="center"/>
    </xf>
    <xf numFmtId="178" fontId="98" fillId="70" borderId="63" xfId="33743" applyNumberFormat="1" applyFont="1" applyFill="1" applyBorder="1" applyAlignment="1">
      <alignment horizontal="center" vertical="center"/>
    </xf>
    <xf numFmtId="178" fontId="98" fillId="70" borderId="67" xfId="33743" applyNumberFormat="1" applyFont="1" applyFill="1" applyBorder="1" applyAlignment="1">
      <alignment horizontal="center" vertical="center"/>
    </xf>
    <xf numFmtId="10" fontId="95" fillId="70" borderId="64" xfId="33743" applyNumberFormat="1" applyFont="1" applyFill="1" applyBorder="1" applyAlignment="1">
      <alignment horizontal="center" vertical="center"/>
    </xf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28" xfId="0" applyFont="1" applyFill="1" applyBorder="1" applyAlignment="1">
      <alignment horizontal="center"/>
    </xf>
    <xf numFmtId="3" fontId="95" fillId="70" borderId="34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3" xfId="0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8" fillId="70" borderId="18" xfId="0" applyFont="1" applyFill="1" applyBorder="1" applyAlignment="1">
      <alignment horizontal="center" wrapText="1"/>
    </xf>
    <xf numFmtId="178" fontId="98" fillId="70" borderId="50" xfId="33743" applyNumberFormat="1" applyFont="1" applyFill="1" applyBorder="1"/>
    <xf numFmtId="0" fontId="99" fillId="0" borderId="16" xfId="0" applyFont="1" applyBorder="1"/>
    <xf numFmtId="0" fontId="99" fillId="0" borderId="68" xfId="0" applyFont="1" applyBorder="1"/>
    <xf numFmtId="0" fontId="99" fillId="0" borderId="68" xfId="0" applyNumberFormat="1" applyFont="1" applyBorder="1" applyAlignment="1">
      <alignment vertical="center"/>
    </xf>
    <xf numFmtId="0" fontId="99" fillId="0" borderId="69" xfId="0" applyFont="1" applyBorder="1"/>
    <xf numFmtId="164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8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0" xfId="0" applyFont="1" applyFill="1" applyBorder="1" applyAlignment="1">
      <alignment horizontal="center"/>
    </xf>
    <xf numFmtId="0" fontId="0" fillId="69" borderId="47" xfId="0" applyFont="1" applyFill="1" applyBorder="1" applyAlignment="1">
      <alignment horizontal="center"/>
    </xf>
    <xf numFmtId="178" fontId="96" fillId="69" borderId="21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0" xfId="0" applyFont="1" applyFill="1" applyBorder="1"/>
    <xf numFmtId="0" fontId="0" fillId="68" borderId="37" xfId="0" applyFont="1" applyFill="1" applyBorder="1"/>
    <xf numFmtId="0" fontId="0" fillId="68" borderId="28" xfId="0" applyFont="1" applyFill="1" applyBorder="1"/>
    <xf numFmtId="0" fontId="0" fillId="68" borderId="40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0" xfId="0" applyNumberFormat="1" applyFont="1" applyFill="1" applyBorder="1"/>
    <xf numFmtId="3" fontId="0" fillId="68" borderId="37" xfId="0" applyNumberFormat="1" applyFont="1" applyFill="1" applyBorder="1"/>
    <xf numFmtId="3" fontId="0" fillId="68" borderId="28" xfId="0" applyNumberFormat="1" applyFont="1" applyFill="1" applyBorder="1"/>
    <xf numFmtId="4" fontId="0" fillId="68" borderId="37" xfId="0" applyNumberFormat="1" applyFont="1" applyFill="1" applyBorder="1"/>
    <xf numFmtId="0" fontId="0" fillId="68" borderId="25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4" fontId="0" fillId="68" borderId="36" xfId="0" applyNumberFormat="1" applyFont="1" applyFill="1" applyBorder="1"/>
    <xf numFmtId="3" fontId="0" fillId="68" borderId="27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46" xfId="0" applyFill="1" applyBorder="1"/>
    <xf numFmtId="0" fontId="104" fillId="68" borderId="29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4" xfId="0" applyFill="1" applyBorder="1"/>
    <xf numFmtId="0" fontId="92" fillId="68" borderId="28" xfId="0" applyFont="1" applyFill="1" applyBorder="1" applyAlignment="1">
      <alignment horizontal="center"/>
    </xf>
    <xf numFmtId="0" fontId="104" fillId="68" borderId="24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28" xfId="0" applyNumberFormat="1" applyFill="1" applyBorder="1"/>
    <xf numFmtId="9" fontId="96" fillId="68" borderId="30" xfId="33743" applyFont="1" applyFill="1" applyBorder="1" applyAlignment="1">
      <alignment horizontal="center"/>
    </xf>
    <xf numFmtId="0" fontId="0" fillId="68" borderId="25" xfId="0" applyFill="1" applyBorder="1" applyAlignment="1">
      <alignment horizontal="left" indent="5"/>
    </xf>
    <xf numFmtId="3" fontId="0" fillId="68" borderId="27" xfId="0" applyNumberFormat="1" applyFill="1" applyBorder="1"/>
    <xf numFmtId="9" fontId="96" fillId="68" borderId="32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1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55" xfId="0" applyNumberFormat="1" applyFont="1" applyFill="1" applyBorder="1" applyAlignment="1">
      <alignment vertical="center"/>
    </xf>
    <xf numFmtId="9" fontId="96" fillId="68" borderId="23" xfId="33743" applyNumberFormat="1" applyFont="1" applyFill="1" applyBorder="1" applyAlignment="1">
      <alignment horizontal="center" vertical="center"/>
    </xf>
    <xf numFmtId="0" fontId="0" fillId="68" borderId="44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56" xfId="0" applyNumberFormat="1" applyFont="1" applyFill="1" applyBorder="1" applyAlignment="1">
      <alignment vertical="center"/>
    </xf>
    <xf numFmtId="9" fontId="96" fillId="68" borderId="30" xfId="33743" applyNumberFormat="1" applyFont="1" applyFill="1" applyBorder="1" applyAlignment="1">
      <alignment horizontal="center" vertical="center"/>
    </xf>
    <xf numFmtId="0" fontId="0" fillId="68" borderId="43" xfId="0" applyFont="1" applyFill="1" applyBorder="1" applyAlignment="1">
      <alignment vertical="center"/>
    </xf>
    <xf numFmtId="4" fontId="0" fillId="68" borderId="25" xfId="0" applyNumberFormat="1" applyFont="1" applyFill="1" applyBorder="1" applyAlignment="1">
      <alignment vertical="center"/>
    </xf>
    <xf numFmtId="4" fontId="0" fillId="68" borderId="58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3" xfId="0" applyFont="1" applyFill="1" applyBorder="1" applyAlignment="1">
      <alignment horizontal="center" wrapText="1"/>
    </xf>
    <xf numFmtId="0" fontId="3" fillId="71" borderId="35" xfId="0" applyFont="1" applyFill="1" applyBorder="1" applyAlignment="1">
      <alignment horizontal="center" wrapText="1"/>
    </xf>
    <xf numFmtId="0" fontId="3" fillId="71" borderId="26" xfId="0" applyFont="1" applyFill="1" applyBorder="1" applyAlignment="1">
      <alignment horizontal="center" vertical="center"/>
    </xf>
    <xf numFmtId="9" fontId="96" fillId="71" borderId="38" xfId="33743" applyFont="1" applyFill="1" applyBorder="1" applyAlignment="1">
      <alignment horizontal="center" vertical="center"/>
    </xf>
    <xf numFmtId="0" fontId="3" fillId="71" borderId="25" xfId="0" applyFont="1" applyFill="1" applyBorder="1" applyAlignment="1">
      <alignment horizontal="left" indent="2"/>
    </xf>
    <xf numFmtId="0" fontId="0" fillId="71" borderId="32" xfId="0" applyFont="1" applyFill="1" applyBorder="1"/>
    <xf numFmtId="0" fontId="0" fillId="71" borderId="36" xfId="0" applyFont="1" applyFill="1" applyBorder="1"/>
    <xf numFmtId="0" fontId="0" fillId="71" borderId="27" xfId="0" applyFont="1" applyFill="1" applyBorder="1"/>
    <xf numFmtId="0" fontId="0" fillId="71" borderId="39" xfId="0" applyFont="1" applyFill="1" applyBorder="1"/>
    <xf numFmtId="3" fontId="0" fillId="71" borderId="33" xfId="0" applyNumberFormat="1" applyFill="1" applyBorder="1"/>
    <xf numFmtId="178" fontId="96" fillId="71" borderId="31" xfId="33743" applyNumberFormat="1" applyFont="1" applyFill="1" applyBorder="1" applyAlignment="1">
      <alignment horizontal="center"/>
    </xf>
    <xf numFmtId="3" fontId="0" fillId="71" borderId="34" xfId="0" applyNumberFormat="1" applyFont="1" applyFill="1" applyBorder="1"/>
    <xf numFmtId="178" fontId="96" fillId="71" borderId="21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6" xfId="33743" applyNumberFormat="1" applyFont="1" applyFill="1" applyBorder="1"/>
    <xf numFmtId="3" fontId="93" fillId="68" borderId="55" xfId="0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56" xfId="0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0" xfId="33743" applyNumberFormat="1" applyFont="1" applyFill="1" applyBorder="1"/>
    <xf numFmtId="3" fontId="93" fillId="68" borderId="71" xfId="0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8" xfId="0" applyFont="1" applyFill="1" applyBorder="1" applyAlignment="1">
      <alignment horizontal="center"/>
    </xf>
    <xf numFmtId="3" fontId="95" fillId="69" borderId="34" xfId="0" applyNumberFormat="1" applyFont="1" applyFill="1" applyBorder="1"/>
    <xf numFmtId="3" fontId="95" fillId="69" borderId="57" xfId="0" applyNumberFormat="1" applyFont="1" applyFill="1" applyBorder="1"/>
    <xf numFmtId="178" fontId="98" fillId="69" borderId="53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4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4" xfId="33744" applyNumberFormat="1" applyFont="1" applyFill="1" applyBorder="1"/>
    <xf numFmtId="180" fontId="95" fillId="70" borderId="50" xfId="33744" applyNumberFormat="1" applyFont="1" applyFill="1" applyBorder="1"/>
    <xf numFmtId="3" fontId="99" fillId="0" borderId="26" xfId="0" applyNumberFormat="1" applyFont="1" applyBorder="1"/>
    <xf numFmtId="3" fontId="99" fillId="0" borderId="73" xfId="0" applyNumberFormat="1" applyFont="1" applyBorder="1"/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4" xfId="0" applyNumberFormat="1" applyFont="1" applyFill="1" applyBorder="1"/>
    <xf numFmtId="0" fontId="92" fillId="69" borderId="75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77" xfId="0" applyFont="1" applyFill="1" applyBorder="1" applyAlignment="1">
      <alignment horizontal="center"/>
    </xf>
    <xf numFmtId="3" fontId="0" fillId="71" borderId="78" xfId="0" applyNumberFormat="1" applyFill="1" applyBorder="1"/>
    <xf numFmtId="3" fontId="0" fillId="68" borderId="77" xfId="0" applyNumberFormat="1" applyFill="1" applyBorder="1"/>
    <xf numFmtId="3" fontId="0" fillId="68" borderId="79" xfId="0" applyNumberFormat="1" applyFill="1" applyBorder="1"/>
    <xf numFmtId="3" fontId="0" fillId="71" borderId="80" xfId="0" applyNumberFormat="1" applyFont="1" applyFill="1" applyBorder="1"/>
    <xf numFmtId="0" fontId="92" fillId="0" borderId="77" xfId="0" applyFont="1" applyBorder="1" applyAlignment="1">
      <alignment horizontal="center"/>
    </xf>
    <xf numFmtId="0" fontId="92" fillId="69" borderId="77" xfId="0" applyFont="1" applyFill="1" applyBorder="1" applyAlignment="1">
      <alignment horizontal="center"/>
    </xf>
    <xf numFmtId="3" fontId="99" fillId="0" borderId="81" xfId="0" applyNumberFormat="1" applyFont="1" applyBorder="1"/>
    <xf numFmtId="3" fontId="99" fillId="0" borderId="82" xfId="0" applyNumberFormat="1" applyFont="1" applyBorder="1"/>
    <xf numFmtId="3" fontId="99" fillId="0" borderId="83" xfId="0" applyNumberFormat="1" applyFont="1" applyBorder="1"/>
    <xf numFmtId="3" fontId="95" fillId="70" borderId="80" xfId="0" applyNumberFormat="1" applyFont="1" applyFill="1" applyBorder="1"/>
    <xf numFmtId="178" fontId="98" fillId="70" borderId="84" xfId="33743" applyNumberFormat="1" applyFont="1" applyFill="1" applyBorder="1"/>
    <xf numFmtId="0" fontId="0" fillId="71" borderId="85" xfId="0" applyFont="1" applyFill="1" applyBorder="1" applyAlignment="1">
      <alignment horizontal="center"/>
    </xf>
    <xf numFmtId="3" fontId="0" fillId="71" borderId="86" xfId="0" applyNumberFormat="1" applyFont="1" applyFill="1" applyBorder="1"/>
    <xf numFmtId="3" fontId="0" fillId="71" borderId="87" xfId="0" applyNumberFormat="1" applyFont="1" applyFill="1" applyBorder="1"/>
    <xf numFmtId="3" fontId="0" fillId="71" borderId="88" xfId="0" applyNumberFormat="1" applyFont="1" applyFill="1" applyBorder="1"/>
    <xf numFmtId="0" fontId="0" fillId="71" borderId="89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0" xfId="0" applyNumberFormat="1" applyFont="1" applyFill="1" applyBorder="1"/>
    <xf numFmtId="0" fontId="0" fillId="71" borderId="91" xfId="0" applyFont="1" applyFill="1" applyBorder="1"/>
    <xf numFmtId="3" fontId="0" fillId="68" borderId="81" xfId="0" applyNumberFormat="1" applyFont="1" applyFill="1" applyBorder="1" applyAlignment="1">
      <alignment vertical="center"/>
    </xf>
    <xf numFmtId="3" fontId="0" fillId="68" borderId="77" xfId="0" applyNumberFormat="1" applyFont="1" applyFill="1" applyBorder="1" applyAlignment="1">
      <alignment vertical="center"/>
    </xf>
    <xf numFmtId="4" fontId="0" fillId="68" borderId="79" xfId="0" applyNumberFormat="1" applyFont="1" applyFill="1" applyBorder="1" applyAlignment="1">
      <alignment vertical="center"/>
    </xf>
    <xf numFmtId="3" fontId="95" fillId="70" borderId="93" xfId="0" applyNumberFormat="1" applyFont="1" applyFill="1" applyBorder="1" applyAlignment="1">
      <alignment horizontal="center" vertical="center"/>
    </xf>
    <xf numFmtId="178" fontId="98" fillId="70" borderId="94" xfId="33743" applyNumberFormat="1" applyFont="1" applyFill="1" applyBorder="1" applyAlignment="1">
      <alignment horizontal="center" vertical="center"/>
    </xf>
    <xf numFmtId="3" fontId="3" fillId="69" borderId="80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96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97" xfId="0" applyNumberFormat="1" applyFill="1" applyBorder="1"/>
    <xf numFmtId="3" fontId="0" fillId="68" borderId="99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5" xfId="0" applyFill="1" applyBorder="1" applyAlignment="1">
      <alignment horizontal="left" indent="3"/>
    </xf>
    <xf numFmtId="0" fontId="0" fillId="68" borderId="43" xfId="0" applyFill="1" applyBorder="1" applyAlignment="1"/>
    <xf numFmtId="0" fontId="0" fillId="68" borderId="35" xfId="0" applyFill="1" applyBorder="1" applyAlignment="1">
      <alignment horizontal="left" indent="1"/>
    </xf>
    <xf numFmtId="0" fontId="0" fillId="68" borderId="100" xfId="0" applyFill="1" applyBorder="1" applyAlignment="1">
      <alignment horizontal="left" indent="1"/>
    </xf>
    <xf numFmtId="0" fontId="0" fillId="68" borderId="90" xfId="0" applyFill="1" applyBorder="1" applyAlignment="1">
      <alignment horizontal="left" indent="1"/>
    </xf>
    <xf numFmtId="9" fontId="96" fillId="68" borderId="30" xfId="33743" applyNumberFormat="1" applyFont="1" applyFill="1" applyBorder="1" applyAlignment="1">
      <alignment horizontal="center"/>
    </xf>
    <xf numFmtId="9" fontId="96" fillId="68" borderId="98" xfId="33743" applyNumberFormat="1" applyFont="1" applyFill="1" applyBorder="1" applyAlignment="1">
      <alignment horizontal="center"/>
    </xf>
    <xf numFmtId="0" fontId="0" fillId="68" borderId="35" xfId="0" applyFill="1" applyBorder="1" applyAlignment="1">
      <alignment vertical="center" wrapText="1"/>
    </xf>
    <xf numFmtId="0" fontId="0" fillId="68" borderId="100" xfId="0" applyFill="1" applyBorder="1"/>
    <xf numFmtId="0" fontId="0" fillId="68" borderId="37" xfId="0" applyFill="1" applyBorder="1" applyAlignment="1">
      <alignment wrapText="1"/>
    </xf>
    <xf numFmtId="0" fontId="0" fillId="68" borderId="90" xfId="0" applyFill="1" applyBorder="1"/>
    <xf numFmtId="0" fontId="0" fillId="68" borderId="36" xfId="0" applyFill="1" applyBorder="1"/>
    <xf numFmtId="167" fontId="100" fillId="62" borderId="0" xfId="0" applyNumberFormat="1" applyFont="1" applyFill="1" applyBorder="1"/>
    <xf numFmtId="3" fontId="99" fillId="0" borderId="55" xfId="0" applyNumberFormat="1" applyFont="1" applyBorder="1"/>
    <xf numFmtId="3" fontId="99" fillId="0" borderId="102" xfId="0" applyNumberFormat="1" applyFont="1" applyBorder="1"/>
    <xf numFmtId="3" fontId="99" fillId="0" borderId="103" xfId="0" applyNumberFormat="1" applyFont="1" applyBorder="1"/>
    <xf numFmtId="3" fontId="95" fillId="69" borderId="101" xfId="0" applyNumberFormat="1" applyFont="1" applyFill="1" applyBorder="1"/>
    <xf numFmtId="0" fontId="0" fillId="68" borderId="17" xfId="0" applyFont="1" applyFill="1" applyBorder="1" applyAlignment="1">
      <alignment vertical="center" wrapText="1"/>
    </xf>
    <xf numFmtId="3" fontId="0" fillId="68" borderId="60" xfId="0" applyNumberFormat="1" applyFill="1" applyBorder="1" applyAlignment="1">
      <alignment horizontal="center" vertical="center"/>
    </xf>
    <xf numFmtId="3" fontId="0" fillId="68" borderId="65" xfId="0" applyNumberFormat="1" applyFill="1" applyBorder="1" applyAlignment="1">
      <alignment horizontal="center" vertical="center"/>
    </xf>
    <xf numFmtId="3" fontId="0" fillId="68" borderId="92" xfId="0" applyNumberFormat="1" applyFill="1" applyBorder="1" applyAlignment="1">
      <alignment horizontal="center" vertical="center"/>
    </xf>
    <xf numFmtId="0" fontId="0" fillId="68" borderId="18" xfId="0" applyFont="1" applyFill="1" applyBorder="1" applyAlignment="1">
      <alignment wrapText="1"/>
    </xf>
    <xf numFmtId="3" fontId="0" fillId="68" borderId="61" xfId="0" applyNumberFormat="1" applyFill="1" applyBorder="1" applyAlignment="1">
      <alignment horizontal="center" vertical="center"/>
    </xf>
    <xf numFmtId="3" fontId="0" fillId="68" borderId="57" xfId="0" applyNumberFormat="1" applyFill="1" applyBorder="1" applyAlignment="1">
      <alignment horizontal="center" vertical="center"/>
    </xf>
    <xf numFmtId="3" fontId="0" fillId="68" borderId="80" xfId="0" applyNumberFormat="1" applyFill="1" applyBorder="1" applyAlignment="1">
      <alignment horizontal="center" vertical="center"/>
    </xf>
    <xf numFmtId="0" fontId="0" fillId="68" borderId="25" xfId="0" applyFill="1" applyBorder="1" applyAlignment="1">
      <alignment horizontal="left" indent="2"/>
    </xf>
    <xf numFmtId="9" fontId="96" fillId="68" borderId="32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46" xfId="0" applyFont="1" applyFill="1" applyBorder="1" applyAlignment="1">
      <alignment horizontal="center" vertical="center"/>
    </xf>
    <xf numFmtId="0" fontId="3" fillId="70" borderId="44" xfId="0" applyFont="1" applyFill="1" applyBorder="1" applyAlignment="1">
      <alignment horizontal="center" vertical="center"/>
    </xf>
    <xf numFmtId="0" fontId="3" fillId="70" borderId="52" xfId="0" applyFont="1" applyFill="1" applyBorder="1" applyAlignment="1">
      <alignment horizontal="center" vertical="center"/>
    </xf>
    <xf numFmtId="3" fontId="3" fillId="69" borderId="50" xfId="0" applyNumberFormat="1" applyFont="1" applyFill="1" applyBorder="1" applyAlignment="1">
      <alignment vertical="center"/>
    </xf>
    <xf numFmtId="3" fontId="3" fillId="69" borderId="57" xfId="0" applyNumberFormat="1" applyFont="1" applyFill="1" applyBorder="1" applyAlignment="1">
      <alignment vertical="center"/>
    </xf>
    <xf numFmtId="178" fontId="96" fillId="69" borderId="53" xfId="33743" applyNumberFormat="1" applyFont="1" applyFill="1" applyBorder="1" applyAlignment="1">
      <alignment horizontal="center" vertical="center"/>
    </xf>
    <xf numFmtId="3" fontId="3" fillId="69" borderId="80" xfId="0" applyNumberFormat="1" applyFont="1" applyFill="1" applyBorder="1" applyAlignment="1">
      <alignment vertical="center"/>
    </xf>
    <xf numFmtId="178" fontId="96" fillId="69" borderId="21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06" xfId="0" applyBorder="1" applyAlignment="1">
      <alignment horizontal="center" vertical="center"/>
    </xf>
    <xf numFmtId="0" fontId="0" fillId="68" borderId="107" xfId="0" applyFill="1" applyBorder="1" applyAlignment="1">
      <alignment wrapText="1"/>
    </xf>
    <xf numFmtId="9" fontId="96" fillId="68" borderId="109" xfId="33743" applyNumberFormat="1" applyFont="1" applyFill="1" applyBorder="1" applyAlignment="1">
      <alignment horizontal="center"/>
    </xf>
    <xf numFmtId="167" fontId="99" fillId="0" borderId="102" xfId="0" applyNumberFormat="1" applyFont="1" applyBorder="1"/>
    <xf numFmtId="9" fontId="103" fillId="71" borderId="24" xfId="33743" applyNumberFormat="1" applyFont="1" applyFill="1" applyBorder="1" applyAlignment="1">
      <alignment horizontal="center"/>
    </xf>
    <xf numFmtId="9" fontId="103" fillId="71" borderId="90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46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58" xfId="0" applyNumberFormat="1" applyFill="1" applyBorder="1"/>
    <xf numFmtId="3" fontId="3" fillId="69" borderId="57" xfId="0" applyNumberFormat="1" applyFont="1" applyFill="1" applyBorder="1"/>
    <xf numFmtId="3" fontId="0" fillId="68" borderId="55" xfId="0" applyNumberFormat="1" applyFill="1" applyBorder="1"/>
    <xf numFmtId="0" fontId="95" fillId="70" borderId="18" xfId="0" applyFont="1" applyFill="1" applyBorder="1" applyAlignment="1">
      <alignment horizontal="center" vertical="center"/>
    </xf>
    <xf numFmtId="164" fontId="0" fillId="0" borderId="0" xfId="33743" applyNumberFormat="1" applyFont="1" applyBorder="1"/>
    <xf numFmtId="180" fontId="0" fillId="0" borderId="0" xfId="0" applyNumberFormat="1" applyFill="1" applyBorder="1"/>
    <xf numFmtId="0" fontId="0" fillId="67" borderId="15" xfId="0" applyFill="1" applyBorder="1"/>
    <xf numFmtId="180" fontId="0" fillId="68" borderId="26" xfId="33744" applyNumberFormat="1" applyFont="1" applyFill="1" applyBorder="1"/>
    <xf numFmtId="180" fontId="0" fillId="68" borderId="28" xfId="33744" applyNumberFormat="1" applyFont="1" applyFill="1" applyBorder="1"/>
    <xf numFmtId="180" fontId="0" fillId="68" borderId="70" xfId="33744" applyNumberFormat="1" applyFont="1" applyFill="1" applyBorder="1"/>
    <xf numFmtId="3" fontId="93" fillId="68" borderId="81" xfId="33743" applyNumberFormat="1" applyFont="1" applyFill="1" applyBorder="1"/>
    <xf numFmtId="3" fontId="93" fillId="68" borderId="77" xfId="33743" applyNumberFormat="1" applyFont="1" applyFill="1" applyBorder="1"/>
    <xf numFmtId="3" fontId="93" fillId="68" borderId="95" xfId="33743" applyNumberFormat="1" applyFont="1" applyFill="1" applyBorder="1"/>
    <xf numFmtId="3" fontId="95" fillId="69" borderId="80" xfId="0" applyNumberFormat="1" applyFont="1" applyFill="1" applyBorder="1"/>
    <xf numFmtId="0" fontId="92" fillId="69" borderId="111" xfId="0" applyFont="1" applyFill="1" applyBorder="1" applyAlignment="1">
      <alignment horizontal="center"/>
    </xf>
    <xf numFmtId="167" fontId="99" fillId="0" borderId="82" xfId="0" applyNumberFormat="1" applyFont="1" applyBorder="1"/>
    <xf numFmtId="167" fontId="99" fillId="0" borderId="73" xfId="0" applyNumberFormat="1" applyFont="1" applyBorder="1"/>
    <xf numFmtId="0" fontId="0" fillId="0" borderId="22" xfId="0" applyFont="1" applyBorder="1" applyAlignment="1">
      <alignment horizontal="center"/>
    </xf>
    <xf numFmtId="0" fontId="95" fillId="70" borderId="112" xfId="0" applyFont="1" applyFill="1" applyBorder="1" applyAlignment="1">
      <alignment horizontal="center"/>
    </xf>
    <xf numFmtId="180" fontId="0" fillId="68" borderId="113" xfId="33744" applyNumberFormat="1" applyFont="1" applyFill="1" applyBorder="1"/>
    <xf numFmtId="180" fontId="0" fillId="68" borderId="114" xfId="33744" applyNumberFormat="1" applyFont="1" applyFill="1" applyBorder="1"/>
    <xf numFmtId="180" fontId="0" fillId="68" borderId="115" xfId="33744" applyNumberFormat="1" applyFont="1" applyFill="1" applyBorder="1"/>
    <xf numFmtId="180" fontId="95" fillId="70" borderId="116" xfId="33744" applyNumberFormat="1" applyFont="1" applyFill="1" applyBorder="1"/>
    <xf numFmtId="0" fontId="92" fillId="68" borderId="54" xfId="0" applyFont="1" applyFill="1" applyBorder="1" applyAlignment="1">
      <alignment horizontal="center"/>
    </xf>
    <xf numFmtId="3" fontId="0" fillId="71" borderId="117" xfId="0" applyNumberFormat="1" applyFill="1" applyBorder="1"/>
    <xf numFmtId="3" fontId="0" fillId="68" borderId="56" xfId="0" applyNumberFormat="1" applyFill="1" applyBorder="1"/>
    <xf numFmtId="3" fontId="0" fillId="68" borderId="118" xfId="0" applyNumberFormat="1" applyFill="1" applyBorder="1"/>
    <xf numFmtId="3" fontId="0" fillId="71" borderId="57" xfId="0" applyNumberFormat="1" applyFont="1" applyFill="1" applyBorder="1"/>
    <xf numFmtId="0" fontId="92" fillId="0" borderId="54" xfId="0" applyFont="1" applyBorder="1" applyAlignment="1">
      <alignment horizontal="center"/>
    </xf>
    <xf numFmtId="0" fontId="95" fillId="70" borderId="78" xfId="0" applyFont="1" applyFill="1" applyBorder="1" applyAlignment="1">
      <alignment horizontal="center"/>
    </xf>
    <xf numFmtId="180" fontId="0" fillId="68" borderId="81" xfId="33744" applyNumberFormat="1" applyFont="1" applyFill="1" applyBorder="1"/>
    <xf numFmtId="180" fontId="0" fillId="68" borderId="77" xfId="33744" applyNumberFormat="1" applyFont="1" applyFill="1" applyBorder="1"/>
    <xf numFmtId="180" fontId="0" fillId="68" borderId="95" xfId="33744" applyNumberFormat="1" applyFont="1" applyFill="1" applyBorder="1"/>
    <xf numFmtId="180" fontId="95" fillId="70" borderId="80" xfId="33744" applyNumberFormat="1" applyFont="1" applyFill="1" applyBorder="1"/>
    <xf numFmtId="4" fontId="99" fillId="0" borderId="102" xfId="0" applyNumberFormat="1" applyFont="1" applyBorder="1"/>
    <xf numFmtId="4" fontId="99" fillId="0" borderId="73" xfId="0" applyNumberFormat="1" applyFont="1" applyBorder="1"/>
    <xf numFmtId="178" fontId="96" fillId="68" borderId="30" xfId="33743" applyNumberFormat="1" applyFont="1" applyFill="1" applyBorder="1" applyAlignment="1">
      <alignment horizontal="center"/>
    </xf>
    <xf numFmtId="43" fontId="0" fillId="0" borderId="0" xfId="0" applyNumberFormat="1"/>
    <xf numFmtId="3" fontId="0" fillId="68" borderId="26" xfId="0" applyNumberFormat="1" applyFill="1" applyBorder="1" applyAlignment="1">
      <alignment vertical="center"/>
    </xf>
    <xf numFmtId="3" fontId="0" fillId="68" borderId="55" xfId="0" applyNumberFormat="1" applyFill="1" applyBorder="1" applyAlignment="1">
      <alignment vertical="center"/>
    </xf>
    <xf numFmtId="3" fontId="0" fillId="68" borderId="81" xfId="0" applyNumberFormat="1" applyFill="1" applyBorder="1" applyAlignment="1">
      <alignment vertical="center"/>
    </xf>
    <xf numFmtId="3" fontId="0" fillId="68" borderId="110" xfId="0" applyNumberFormat="1" applyFill="1" applyBorder="1"/>
    <xf numFmtId="3" fontId="0" fillId="68" borderId="119" xfId="0" applyNumberFormat="1" applyFill="1" applyBorder="1"/>
    <xf numFmtId="9" fontId="96" fillId="68" borderId="53" xfId="33743" applyNumberFormat="1" applyFont="1" applyFill="1" applyBorder="1" applyAlignment="1">
      <alignment horizontal="center" vertical="center"/>
    </xf>
    <xf numFmtId="9" fontId="96" fillId="68" borderId="21" xfId="33743" applyNumberFormat="1" applyFont="1" applyFill="1" applyBorder="1" applyAlignment="1">
      <alignment horizontal="center" vertical="center"/>
    </xf>
    <xf numFmtId="9" fontId="98" fillId="68" borderId="23" xfId="33743" applyNumberFormat="1" applyFont="1" applyFill="1" applyBorder="1"/>
    <xf numFmtId="9" fontId="98" fillId="68" borderId="30" xfId="33743" applyNumberFormat="1" applyFont="1" applyFill="1" applyBorder="1"/>
    <xf numFmtId="9" fontId="98" fillId="68" borderId="24" xfId="33743" applyNumberFormat="1" applyFont="1" applyFill="1" applyBorder="1"/>
    <xf numFmtId="9" fontId="98" fillId="0" borderId="16" xfId="33743" applyFont="1" applyBorder="1"/>
    <xf numFmtId="9" fontId="98" fillId="0" borderId="68" xfId="33743" applyFont="1" applyBorder="1"/>
    <xf numFmtId="178" fontId="98" fillId="0" borderId="68" xfId="33743" applyNumberFormat="1" applyFont="1" applyBorder="1"/>
    <xf numFmtId="9" fontId="98" fillId="0" borderId="68" xfId="33743" applyNumberFormat="1" applyFont="1" applyBorder="1"/>
    <xf numFmtId="9" fontId="98" fillId="0" borderId="69" xfId="33743" applyFont="1" applyBorder="1"/>
    <xf numFmtId="3" fontId="0" fillId="68" borderId="108" xfId="0" applyNumberFormat="1" applyFill="1" applyBorder="1"/>
    <xf numFmtId="167" fontId="0" fillId="68" borderId="27" xfId="0" applyNumberFormat="1" applyFill="1" applyBorder="1"/>
    <xf numFmtId="167" fontId="0" fillId="68" borderId="58" xfId="0" applyNumberFormat="1" applyFill="1" applyBorder="1"/>
    <xf numFmtId="167" fontId="0" fillId="68" borderId="55" xfId="0" applyNumberFormat="1" applyFill="1" applyBorder="1"/>
    <xf numFmtId="178" fontId="96" fillId="68" borderId="23" xfId="33743" applyNumberFormat="1" applyFont="1" applyFill="1" applyBorder="1" applyAlignment="1">
      <alignment horizontal="center" vertical="center"/>
    </xf>
    <xf numFmtId="167" fontId="0" fillId="68" borderId="28" xfId="0" applyNumberFormat="1" applyFill="1" applyBorder="1"/>
    <xf numFmtId="9" fontId="103" fillId="68" borderId="40" xfId="33743" applyNumberFormat="1" applyFont="1" applyFill="1" applyBorder="1" applyAlignment="1">
      <alignment horizontal="center"/>
    </xf>
    <xf numFmtId="9" fontId="103" fillId="68" borderId="39" xfId="33743" applyNumberFormat="1" applyFont="1" applyFill="1" applyBorder="1" applyAlignment="1">
      <alignment horizontal="center"/>
    </xf>
    <xf numFmtId="0" fontId="0" fillId="71" borderId="47" xfId="0" applyFont="1" applyFill="1" applyBorder="1" applyAlignment="1">
      <alignment horizontal="center"/>
    </xf>
    <xf numFmtId="0" fontId="0" fillId="71" borderId="48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" fillId="71" borderId="20" xfId="0" applyFont="1" applyFill="1" applyBorder="1" applyAlignment="1">
      <alignment horizontal="center"/>
    </xf>
    <xf numFmtId="0" fontId="3" fillId="71" borderId="45" xfId="0" applyFont="1" applyFill="1" applyBorder="1" applyAlignment="1">
      <alignment horizont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1" xfId="0" applyFont="1" applyFill="1" applyBorder="1" applyAlignment="1">
      <alignment horizontal="center"/>
    </xf>
    <xf numFmtId="0" fontId="3" fillId="68" borderId="42" xfId="0" applyFont="1" applyFill="1" applyBorder="1" applyAlignment="1">
      <alignment horizontal="center"/>
    </xf>
    <xf numFmtId="0" fontId="104" fillId="0" borderId="29" xfId="0" applyFont="1" applyBorder="1" applyAlignment="1">
      <alignment horizontal="center" vertical="center"/>
    </xf>
    <xf numFmtId="0" fontId="104" fillId="0" borderId="24" xfId="0" applyFont="1" applyBorder="1" applyAlignment="1">
      <alignment horizontal="center" vertical="center"/>
    </xf>
    <xf numFmtId="0" fontId="92" fillId="68" borderId="76" xfId="0" applyFont="1" applyFill="1" applyBorder="1" applyAlignment="1">
      <alignment horizontal="center"/>
    </xf>
    <xf numFmtId="0" fontId="92" fillId="68" borderId="42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46" xfId="0" applyFont="1" applyFill="1" applyBorder="1" applyAlignment="1">
      <alignment horizontal="center"/>
    </xf>
    <xf numFmtId="0" fontId="92" fillId="69" borderId="76" xfId="0" applyFont="1" applyFill="1" applyBorder="1" applyAlignment="1">
      <alignment horizontal="center" vertical="center"/>
    </xf>
    <xf numFmtId="0" fontId="92" fillId="69" borderId="49" xfId="0" applyFont="1" applyFill="1" applyBorder="1" applyAlignment="1">
      <alignment horizontal="center" vertical="center"/>
    </xf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0" fontId="3" fillId="70" borderId="46" xfId="0" applyFont="1" applyFill="1" applyBorder="1" applyAlignment="1">
      <alignment horizontal="center" vertical="center"/>
    </xf>
    <xf numFmtId="0" fontId="3" fillId="70" borderId="59" xfId="0" applyFont="1" applyFill="1" applyBorder="1" applyAlignment="1">
      <alignment horizontal="center" vertical="center"/>
    </xf>
    <xf numFmtId="0" fontId="3" fillId="69" borderId="49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2" xfId="0" quotePrefix="1" applyNumberFormat="1" applyFont="1" applyFill="1" applyBorder="1" applyAlignment="1">
      <alignment horizontal="center"/>
    </xf>
    <xf numFmtId="0" fontId="95" fillId="70" borderId="19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1" xfId="0" applyFont="1" applyFill="1" applyBorder="1" applyAlignment="1">
      <alignment horizontal="center" vertical="center"/>
    </xf>
    <xf numFmtId="0" fontId="3" fillId="69" borderId="42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10" fontId="98" fillId="0" borderId="68" xfId="33743" applyNumberFormat="1" applyFont="1" applyBorder="1"/>
    <xf numFmtId="180" fontId="0" fillId="68" borderId="40" xfId="33744" applyNumberFormat="1" applyFont="1" applyFill="1" applyBorder="1"/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Setiembre 2020</a:t>
            </a:r>
          </a:p>
          <a:p>
            <a:pPr>
              <a:defRPr sz="800" b="1"/>
            </a:pPr>
            <a:r>
              <a:rPr lang="es-PE" sz="800" b="1"/>
              <a:t>Total : 4 502 GWh</a:t>
            </a:r>
          </a:p>
        </c:rich>
      </c:tx>
      <c:layout>
        <c:manualLayout>
          <c:xMode val="edge"/>
          <c:yMode val="edge"/>
          <c:x val="0.15346189164370982"/>
          <c:y val="3.57218533360085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47-4B77-B331-5D7ABFB940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42.199197586003301</c:v>
                </c:pt>
                <c:pt idx="1">
                  <c:v>145.35279168512247</c:v>
                </c:pt>
                <c:pt idx="2">
                  <c:v>1873.582593615934</c:v>
                </c:pt>
                <c:pt idx="3">
                  <c:v>2197.0653761291496</c:v>
                </c:pt>
                <c:pt idx="4">
                  <c:v>244.0382759025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A7-482F-8F07-827CA96EB1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A7-482F-8F07-827CA96EB19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A7-482F-8F07-827CA96EB19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0A7-482F-8F07-827CA96EB19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1551.0006917418809</c:v>
                </c:pt>
                <c:pt idx="2">
                  <c:v>0</c:v>
                </c:pt>
                <c:pt idx="3">
                  <c:v>2125.3818594687164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78.438697082500028</c:v>
                </c:pt>
                <c:pt idx="1">
                  <c:v>282.5099013171714</c:v>
                </c:pt>
                <c:pt idx="2">
                  <c:v>70.43034175999999</c:v>
                </c:pt>
                <c:pt idx="3">
                  <c:v>65.038695297154902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A38-45A7-BE0F-57B660BBCB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41.929204365369799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3676.3825512105973</c:v>
                </c:pt>
                <c:pt idx="1">
                  <c:v>496.4176354568263</c:v>
                </c:pt>
                <c:pt idx="2">
                  <c:v>287.50884388591618</c:v>
                </c:pt>
                <c:pt idx="3">
                  <c:v>41.929204365369799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92136688"/>
        <c:axId val="992135512"/>
      </c:barChart>
      <c:catAx>
        <c:axId val="99213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92135512"/>
        <c:crosses val="autoZero"/>
        <c:auto val="1"/>
        <c:lblAlgn val="ctr"/>
        <c:lblOffset val="100"/>
        <c:noMultiLvlLbl val="0"/>
      </c:catAx>
      <c:valAx>
        <c:axId val="99213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9213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CUSCO</c:v>
                </c:pt>
                <c:pt idx="5">
                  <c:v>PIURA</c:v>
                </c:pt>
                <c:pt idx="6">
                  <c:v>ICA</c:v>
                </c:pt>
                <c:pt idx="7">
                  <c:v>LA LIBERTAD</c:v>
                </c:pt>
                <c:pt idx="8">
                  <c:v>ANCASH</c:v>
                </c:pt>
                <c:pt idx="9">
                  <c:v>AREQUIPA</c:v>
                </c:pt>
                <c:pt idx="10">
                  <c:v>PUNO</c:v>
                </c:pt>
                <c:pt idx="11">
                  <c:v>MOQUEGUA</c:v>
                </c:pt>
                <c:pt idx="12">
                  <c:v>HUANUCO</c:v>
                </c:pt>
                <c:pt idx="13">
                  <c:v>PASCO</c:v>
                </c:pt>
                <c:pt idx="14">
                  <c:v>LORETO</c:v>
                </c:pt>
                <c:pt idx="15">
                  <c:v>CAJAMARCA</c:v>
                </c:pt>
                <c:pt idx="16">
                  <c:v>TACNA</c:v>
                </c:pt>
                <c:pt idx="17">
                  <c:v>UCAYALI</c:v>
                </c:pt>
                <c:pt idx="18">
                  <c:v>LAMBAYEQUE</c:v>
                </c:pt>
                <c:pt idx="19">
                  <c:v>AMAZONAS</c:v>
                </c:pt>
                <c:pt idx="20">
                  <c:v>APURIMAC</c:v>
                </c:pt>
                <c:pt idx="21">
                  <c:v>SAN MARTÍN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2214.5830253575732</c:v>
                </c:pt>
                <c:pt idx="1">
                  <c:v>752.03079293364272</c:v>
                </c:pt>
                <c:pt idx="2">
                  <c:v>338.30926127531075</c:v>
                </c:pt>
                <c:pt idx="3">
                  <c:v>158.17610113916663</c:v>
                </c:pt>
                <c:pt idx="4">
                  <c:v>137.10902628750003</c:v>
                </c:pt>
                <c:pt idx="5">
                  <c:v>124.10108894263315</c:v>
                </c:pt>
                <c:pt idx="6">
                  <c:v>115.92530249500003</c:v>
                </c:pt>
                <c:pt idx="7">
                  <c:v>114.42670418825186</c:v>
                </c:pt>
                <c:pt idx="8">
                  <c:v>99.014880504738016</c:v>
                </c:pt>
                <c:pt idx="9">
                  <c:v>93.158002549425063</c:v>
                </c:pt>
                <c:pt idx="10">
                  <c:v>70.755848907500024</c:v>
                </c:pt>
                <c:pt idx="11">
                  <c:v>63.154625975833312</c:v>
                </c:pt>
                <c:pt idx="12">
                  <c:v>60.318604442666675</c:v>
                </c:pt>
                <c:pt idx="13">
                  <c:v>44.699639613333339</c:v>
                </c:pt>
                <c:pt idx="14">
                  <c:v>41.929204365369799</c:v>
                </c:pt>
                <c:pt idx="15">
                  <c:v>37.305845858607391</c:v>
                </c:pt>
                <c:pt idx="16">
                  <c:v>12.309685434999997</c:v>
                </c:pt>
                <c:pt idx="17">
                  <c:v>9.2502459441666662</c:v>
                </c:pt>
                <c:pt idx="18">
                  <c:v>5.003214221666668</c:v>
                </c:pt>
                <c:pt idx="19">
                  <c:v>3.3578636747570916</c:v>
                </c:pt>
                <c:pt idx="20">
                  <c:v>2.837164026729575</c:v>
                </c:pt>
                <c:pt idx="21">
                  <c:v>2.2135790000000002</c:v>
                </c:pt>
                <c:pt idx="22">
                  <c:v>1.1005480000000003</c:v>
                </c:pt>
                <c:pt idx="23">
                  <c:v>0.96786369150492546</c:v>
                </c:pt>
                <c:pt idx="24">
                  <c:v>0.20011608833333336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992133552"/>
        <c:axId val="992135904"/>
      </c:barChart>
      <c:catAx>
        <c:axId val="99213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992135904"/>
        <c:crosses val="autoZero"/>
        <c:auto val="1"/>
        <c:lblAlgn val="ctr"/>
        <c:lblOffset val="100"/>
        <c:noMultiLvlLbl val="0"/>
      </c:catAx>
      <c:valAx>
        <c:axId val="992135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9921335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572817887096451E-3"/>
                  <c:y val="1.2176560121765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1904.2101474020749</c:v>
                </c:pt>
                <c:pt idx="1">
                  <c:v>2481.5008444742393</c:v>
                </c:pt>
                <c:pt idx="2">
                  <c:v>148.46268099999998</c:v>
                </c:pt>
                <c:pt idx="3">
                  <c:v>67.257610999999983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1915.7817912019373</c:v>
                </c:pt>
                <c:pt idx="1">
                  <c:v>2342.4181678142722</c:v>
                </c:pt>
                <c:pt idx="2">
                  <c:v>173.6079341425</c:v>
                </c:pt>
                <c:pt idx="3">
                  <c:v>70.43034175999999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4634712"/>
        <c:axId val="764635104"/>
      </c:barChart>
      <c:catAx>
        <c:axId val="764634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64635104"/>
        <c:crosses val="autoZero"/>
        <c:auto val="1"/>
        <c:lblAlgn val="ctr"/>
        <c:lblOffset val="100"/>
        <c:noMultiLvlLbl val="0"/>
      </c:catAx>
      <c:valAx>
        <c:axId val="76463510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64634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N°2: Producción de Energía Eléctrica Nacional</a:t>
            </a:r>
            <a:endParaRPr lang="es-PE" sz="8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210.32803918513918</c:v>
                </c:pt>
                <c:pt idx="1">
                  <c:v>188.83641812399071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4391.103244691175</c:v>
                </c:pt>
                <c:pt idx="1">
                  <c:v>4313.4018167947188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6293008"/>
        <c:axId val="826293400"/>
        <c:axId val="902740232"/>
      </c:bar3DChart>
      <c:catAx>
        <c:axId val="82629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26293400"/>
        <c:crosses val="autoZero"/>
        <c:auto val="1"/>
        <c:lblAlgn val="ctr"/>
        <c:lblOffset val="100"/>
        <c:noMultiLvlLbl val="0"/>
      </c:catAx>
      <c:valAx>
        <c:axId val="82629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26293008"/>
        <c:crosses val="autoZero"/>
        <c:crossBetween val="between"/>
      </c:valAx>
      <c:serAx>
        <c:axId val="9027402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2629340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1799.7455858245751</c:v>
                </c:pt>
                <c:pt idx="1">
                  <c:v>1806.5793423619373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2432.5064744742394</c:v>
                </c:pt>
                <c:pt idx="1">
                  <c:v>2291.4320245046397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104.46456157749984</c:v>
                </c:pt>
                <c:pt idx="1">
                  <c:v>109.20244884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264.71466199999998</c:v>
                </c:pt>
                <c:pt idx="1">
                  <c:v>295.02441921213244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26291440"/>
        <c:axId val="826292224"/>
        <c:axId val="0"/>
      </c:bar3DChart>
      <c:catAx>
        <c:axId val="82629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26292224"/>
        <c:crosses val="autoZero"/>
        <c:auto val="1"/>
        <c:lblAlgn val="ctr"/>
        <c:lblOffset val="100"/>
        <c:noMultiLvlLbl val="0"/>
      </c:catAx>
      <c:valAx>
        <c:axId val="82629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2629144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1915.7817912019373</c:v>
                </c:pt>
                <c:pt idx="1">
                  <c:v>2221.9898380472737</c:v>
                </c:pt>
                <c:pt idx="2">
                  <c:v>69.167788083967935</c:v>
                </c:pt>
                <c:pt idx="3">
                  <c:v>50.986143309632439</c:v>
                </c:pt>
                <c:pt idx="4">
                  <c:v>173.6079341425</c:v>
                </c:pt>
                <c:pt idx="5">
                  <c:v>70.43034175999999</c:v>
                </c:pt>
                <c:pt idx="6" formatCode="#,##0.0">
                  <c:v>0.27439837339760048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6293792"/>
        <c:axId val="826291048"/>
      </c:barChart>
      <c:catAx>
        <c:axId val="82629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26291048"/>
        <c:crosses val="autoZero"/>
        <c:auto val="1"/>
        <c:lblAlgn val="ctr"/>
        <c:lblOffset val="100"/>
        <c:noMultiLvlLbl val="0"/>
      </c:catAx>
      <c:valAx>
        <c:axId val="82629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2629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037-4694-BAD5-10A4F4B042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37-4694-BAD5-10A4F4B042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4336.7166218763141</c:v>
                </c:pt>
                <c:pt idx="1">
                  <c:v>4207.2138157065765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(1)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44E-4059-B774-614AB2D263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44E-4059-B774-614AB2D263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264.71466199999998</c:v>
                </c:pt>
                <c:pt idx="1">
                  <c:v>295.02441921213244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856990144"/>
        <c:axId val="856991712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5330716549030166E-2"/>
                  <c:y val="-3.5286000250162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0FD-488B-8AB7-48A84AE60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300567068827548E-2"/>
                  <c:y val="3.4877698074624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0FD-488B-8AB7-48A84AE60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5.7528765653325237E-2</c:v>
                </c:pt>
                <c:pt idx="1">
                  <c:v>6.5528389174070278E-2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990536"/>
        <c:axId val="856992496"/>
      </c:lineChart>
      <c:catAx>
        <c:axId val="85699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56991712"/>
        <c:crosses val="autoZero"/>
        <c:auto val="1"/>
        <c:lblAlgn val="ctr"/>
        <c:lblOffset val="100"/>
        <c:noMultiLvlLbl val="1"/>
      </c:catAx>
      <c:valAx>
        <c:axId val="8569917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56990144"/>
        <c:crosses val="autoZero"/>
        <c:crossBetween val="between"/>
        <c:majorUnit val="1000"/>
      </c:valAx>
      <c:valAx>
        <c:axId val="856992496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56990536"/>
        <c:crosses val="max"/>
        <c:crossBetween val="between"/>
      </c:valAx>
      <c:catAx>
        <c:axId val="856990536"/>
        <c:scaling>
          <c:orientation val="minMax"/>
        </c:scaling>
        <c:delete val="1"/>
        <c:axPos val="b"/>
        <c:majorTickMark val="out"/>
        <c:minorTickMark val="none"/>
        <c:tickLblPos val="nextTo"/>
        <c:crossAx val="856992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2019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0.10693217125727976"/>
                  <c:y val="-0.122155179237783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0937813558810065"/>
                  <c:y val="0.255011500250296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053707138052757"/>
                  <c:y val="-7.42198169994102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1F6-4538-A631-E09024FD6E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"/>
              <c:layout>
                <c:manualLayout>
                  <c:x val="-0.12524437960552937"/>
                  <c:y val="-4.06505696609684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1904.2101474020749</c:v>
                </c:pt>
                <c:pt idx="1">
                  <c:v>2319.0175629999999</c:v>
                </c:pt>
                <c:pt idx="2">
                  <c:v>113.12188133023938</c:v>
                </c:pt>
                <c:pt idx="3" formatCode="#,##0.00">
                  <c:v>0.367030144</c:v>
                </c:pt>
                <c:pt idx="4">
                  <c:v>48.994370000000004</c:v>
                </c:pt>
                <c:pt idx="5">
                  <c:v>148.46268099999998</c:v>
                </c:pt>
                <c:pt idx="6">
                  <c:v>67.257610999999983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2020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0.16613689363606776"/>
                  <c:y val="-0.199220235088975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5907204892861787"/>
                  <c:y val="0.205453950500425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2117313151581134E-2"/>
                  <c:y val="-8.8379116927944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FCD-4ECA-B69A-AB2E7C5210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"/>
              <c:layout>
                <c:manualLayout>
                  <c:x val="-0.10371440557237165"/>
                  <c:y val="-6.5051112842930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1915.7817912019373</c:v>
                </c:pt>
                <c:pt idx="1">
                  <c:v>2221.9898380472737</c:v>
                </c:pt>
                <c:pt idx="2">
                  <c:v>69.167788083967935</c:v>
                </c:pt>
                <c:pt idx="3" formatCode="#,##0.00">
                  <c:v>0.27439837339760048</c:v>
                </c:pt>
                <c:pt idx="4">
                  <c:v>50.986143309632439</c:v>
                </c:pt>
                <c:pt idx="5">
                  <c:v>173.6079341425</c:v>
                </c:pt>
                <c:pt idx="6">
                  <c:v>70.43034175999999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DF3-4B8C-A071-F881905C8C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DF3-4B8C-A071-F881905C8C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DF3-4B8C-A071-F881905C8C1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DF3-4B8C-A071-F881905C8C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95.169237059999972</c:v>
                </c:pt>
                <c:pt idx="1">
                  <c:v>82.271198142884799</c:v>
                </c:pt>
                <c:pt idx="2">
                  <c:v>0</c:v>
                </c:pt>
                <c:pt idx="3">
                  <c:v>110.06840868303141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setiembre 2020</a:t>
          </a:r>
        </a:p>
      </xdr:txBody>
    </xdr:sp>
    <xdr:clientData/>
  </xdr:twoCellAnchor>
  <xdr:twoCellAnchor>
    <xdr:from>
      <xdr:col>2</xdr:col>
      <xdr:colOff>337008</xdr:colOff>
      <xdr:row>59</xdr:row>
      <xdr:rowOff>0</xdr:rowOff>
    </xdr:from>
    <xdr:to>
      <xdr:col>8</xdr:col>
      <xdr:colOff>125016</xdr:colOff>
      <xdr:row>61</xdr:row>
      <xdr:rowOff>63500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067258" y="9993313"/>
          <a:ext cx="538394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2020 vs 2019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pSpPr/>
      </xdr:nvGrpSpPr>
      <xdr:grpSpPr>
        <a:xfrm>
          <a:off x="709894" y="1188664"/>
          <a:ext cx="6691032" cy="233148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xmlns="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015506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330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06555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xmlns="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1</xdr:col>
      <xdr:colOff>190501</xdr:colOff>
      <xdr:row>18</xdr:row>
      <xdr:rowOff>39461</xdr:rowOff>
    </xdr:from>
    <xdr:to>
      <xdr:col>5</xdr:col>
      <xdr:colOff>520495</xdr:colOff>
      <xdr:row>51</xdr:row>
      <xdr:rowOff>59870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pSpPr/>
      </xdr:nvGrpSpPr>
      <xdr:grpSpPr>
        <a:xfrm>
          <a:off x="547689" y="3289867"/>
          <a:ext cx="4020931" cy="5628253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xmlns="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xmlns="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xmlns="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xmlns="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xmlns="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xmlns="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tabSelected="1" view="pageBreakPreview" zoomScaleNormal="120" zoomScaleSheetLayoutView="100" workbookViewId="0">
      <selection activeCell="C1" sqref="C1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6.42578125" style="9" customWidth="1"/>
    <col min="8" max="9" width="11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111</v>
      </c>
    </row>
    <row r="8" spans="2:19" s="1" customFormat="1">
      <c r="B8" s="8"/>
      <c r="C8" s="129"/>
      <c r="D8" s="129"/>
      <c r="E8" s="129"/>
      <c r="F8" s="129"/>
      <c r="G8" s="129"/>
      <c r="H8" s="9"/>
      <c r="I8" s="9"/>
      <c r="J8" s="9"/>
      <c r="K8" s="9"/>
    </row>
    <row r="9" spans="2:19" s="1" customFormat="1" ht="25.5">
      <c r="B9" s="8"/>
      <c r="C9" s="178" t="s">
        <v>62</v>
      </c>
      <c r="D9" s="179" t="s">
        <v>69</v>
      </c>
      <c r="E9" s="180" t="s">
        <v>70</v>
      </c>
      <c r="F9" s="181" t="s">
        <v>71</v>
      </c>
      <c r="G9" s="182" t="s">
        <v>72</v>
      </c>
      <c r="H9" s="9"/>
      <c r="I9" s="9"/>
      <c r="J9" s="9"/>
      <c r="K9" s="9"/>
    </row>
    <row r="10" spans="2:19" s="1" customFormat="1" ht="13.5" thickBot="1">
      <c r="B10" s="8"/>
      <c r="C10" s="183" t="s">
        <v>63</v>
      </c>
      <c r="D10" s="184"/>
      <c r="E10" s="185"/>
      <c r="F10" s="186"/>
      <c r="G10" s="187"/>
      <c r="H10" s="9"/>
      <c r="I10" s="9"/>
      <c r="J10" s="9"/>
      <c r="K10" s="9"/>
    </row>
    <row r="11" spans="2:19" s="1" customFormat="1" ht="13.5" thickTop="1">
      <c r="B11" s="8"/>
      <c r="C11" s="130"/>
      <c r="D11" s="131"/>
      <c r="E11" s="132"/>
      <c r="F11" s="133"/>
      <c r="G11" s="134"/>
      <c r="H11" s="9"/>
      <c r="I11" s="9"/>
      <c r="J11" s="9"/>
      <c r="K11" s="9"/>
      <c r="Q11" s="385" t="s">
        <v>64</v>
      </c>
      <c r="R11" s="144" t="s">
        <v>41</v>
      </c>
      <c r="S11" s="145">
        <f>E12</f>
        <v>42.199197586003301</v>
      </c>
    </row>
    <row r="12" spans="2:19" s="1" customFormat="1">
      <c r="B12" s="8"/>
      <c r="C12" s="135" t="s">
        <v>66</v>
      </c>
      <c r="D12" s="136">
        <v>1873.582593615934</v>
      </c>
      <c r="E12" s="137">
        <v>42.199197586003301</v>
      </c>
      <c r="F12" s="138">
        <f>SUM(D12:E12)</f>
        <v>1915.7817912019373</v>
      </c>
      <c r="G12" s="374">
        <f>(F12/F$16)</f>
        <v>0.42551764061337538</v>
      </c>
      <c r="H12" s="9"/>
      <c r="I12" s="9"/>
      <c r="J12" s="9"/>
      <c r="K12" s="9"/>
      <c r="Q12" s="385"/>
      <c r="R12" s="144" t="s">
        <v>73</v>
      </c>
      <c r="S12" s="145">
        <f>E13</f>
        <v>145.35279168512247</v>
      </c>
    </row>
    <row r="13" spans="2:19" s="1" customFormat="1">
      <c r="B13" s="8"/>
      <c r="C13" s="135" t="s">
        <v>65</v>
      </c>
      <c r="D13" s="136">
        <v>2197.0653761291496</v>
      </c>
      <c r="E13" s="137">
        <v>145.35279168512247</v>
      </c>
      <c r="F13" s="138">
        <f>SUM(D13:E13)</f>
        <v>2342.4181678142722</v>
      </c>
      <c r="G13" s="374">
        <f>(F13/F$16)</f>
        <v>0.52027859157847645</v>
      </c>
      <c r="H13" s="9"/>
      <c r="I13" s="9"/>
      <c r="J13" s="9"/>
      <c r="K13" s="9"/>
      <c r="Q13" s="385" t="s">
        <v>88</v>
      </c>
      <c r="R13" s="144" t="s">
        <v>41</v>
      </c>
      <c r="S13" s="145">
        <f>D12</f>
        <v>1873.582593615934</v>
      </c>
    </row>
    <row r="14" spans="2:19" s="1" customFormat="1">
      <c r="B14" s="8"/>
      <c r="C14" s="135" t="s">
        <v>67</v>
      </c>
      <c r="D14" s="136">
        <v>173.6079341425</v>
      </c>
      <c r="E14" s="139"/>
      <c r="F14" s="138">
        <f>SUM(D14:E14)</f>
        <v>173.6079341425</v>
      </c>
      <c r="G14" s="374">
        <f>(F14/F$16)</f>
        <v>3.8560361554397966E-2</v>
      </c>
      <c r="H14" s="9"/>
      <c r="I14" s="9"/>
      <c r="J14" s="9"/>
      <c r="K14" s="9"/>
      <c r="Q14" s="385"/>
      <c r="R14" s="144" t="s">
        <v>73</v>
      </c>
      <c r="S14" s="145">
        <f>D13</f>
        <v>2197.0653761291496</v>
      </c>
    </row>
    <row r="15" spans="2:19" s="1" customFormat="1" ht="13.5" thickBot="1">
      <c r="B15" s="8"/>
      <c r="C15" s="140" t="s">
        <v>5</v>
      </c>
      <c r="D15" s="141">
        <v>70.43034175999999</v>
      </c>
      <c r="E15" s="142"/>
      <c r="F15" s="143">
        <f>SUM(D15:E15)</f>
        <v>70.43034175999999</v>
      </c>
      <c r="G15" s="375">
        <f>(F15/F$16)-0.0007</f>
        <v>1.4943406253750062E-2</v>
      </c>
      <c r="H15" s="9"/>
      <c r="I15" s="9"/>
      <c r="J15" s="9"/>
      <c r="K15" s="9"/>
      <c r="Q15" s="385"/>
      <c r="R15" s="144" t="s">
        <v>87</v>
      </c>
      <c r="S15" s="145">
        <f>SUM(D14:D15)</f>
        <v>244.0382759025</v>
      </c>
    </row>
    <row r="16" spans="2:19" s="1" customFormat="1" ht="13.5" thickTop="1">
      <c r="B16" s="8"/>
      <c r="C16" s="238" t="s">
        <v>71</v>
      </c>
      <c r="D16" s="239">
        <f>SUM(D12:D15)</f>
        <v>4314.6862456475837</v>
      </c>
      <c r="E16" s="240">
        <f>SUM(E12:E15)</f>
        <v>187.55198927112576</v>
      </c>
      <c r="F16" s="241">
        <f>SUM(F12:F15)</f>
        <v>4502.2382349187101</v>
      </c>
      <c r="G16" s="242"/>
      <c r="H16" s="9"/>
      <c r="I16" s="9"/>
      <c r="J16" s="9"/>
      <c r="K16" s="9"/>
    </row>
    <row r="17" spans="2:19" s="1" customFormat="1">
      <c r="B17" s="8"/>
      <c r="C17" s="243" t="s">
        <v>107</v>
      </c>
      <c r="D17" s="307">
        <f>D16/F16</f>
        <v>0.95834249999999999</v>
      </c>
      <c r="E17" s="308">
        <f>E16/F16</f>
        <v>4.165749999999991E-2</v>
      </c>
      <c r="F17" s="244"/>
      <c r="G17" s="245"/>
      <c r="H17" s="9"/>
      <c r="I17" s="9"/>
      <c r="J17" s="9"/>
      <c r="K17" s="9"/>
    </row>
    <row r="18" spans="2:19" s="1" customFormat="1">
      <c r="B18" s="8"/>
      <c r="C18" s="130"/>
      <c r="D18" s="130"/>
      <c r="E18" s="130"/>
      <c r="F18" s="130"/>
      <c r="G18" s="130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115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30"/>
      <c r="D22" s="130"/>
      <c r="E22" s="130"/>
      <c r="F22" s="130"/>
      <c r="G22" s="130"/>
      <c r="H22" s="129"/>
      <c r="I22" s="129"/>
      <c r="J22" s="129"/>
      <c r="K22" s="9"/>
    </row>
    <row r="23" spans="2:19" s="1" customFormat="1" ht="12.75" customHeight="1">
      <c r="B23" s="8"/>
      <c r="C23" s="392" t="s">
        <v>110</v>
      </c>
      <c r="D23" s="393"/>
      <c r="E23" s="386" t="s">
        <v>126</v>
      </c>
      <c r="F23" s="387"/>
      <c r="G23" s="149" t="s">
        <v>74</v>
      </c>
      <c r="H23" s="390" t="s">
        <v>127</v>
      </c>
      <c r="I23" s="391"/>
      <c r="J23" s="149" t="s">
        <v>74</v>
      </c>
      <c r="K23" s="9"/>
      <c r="Q23" s="144"/>
      <c r="R23" s="144">
        <v>2019</v>
      </c>
      <c r="S23" s="144">
        <v>2020</v>
      </c>
    </row>
    <row r="24" spans="2:19" s="1" customFormat="1" ht="12.75" customHeight="1">
      <c r="B24" s="8"/>
      <c r="C24" s="150"/>
      <c r="D24" s="151"/>
      <c r="E24" s="152">
        <v>2019</v>
      </c>
      <c r="F24" s="338">
        <v>2020</v>
      </c>
      <c r="G24" s="153"/>
      <c r="H24" s="226">
        <v>2019</v>
      </c>
      <c r="I24" s="338">
        <v>2020</v>
      </c>
      <c r="J24" s="153"/>
      <c r="K24" s="9"/>
      <c r="Q24" s="144" t="s">
        <v>76</v>
      </c>
      <c r="R24" s="145">
        <f>E29</f>
        <v>210.32803918513918</v>
      </c>
      <c r="S24" s="145">
        <f>F29</f>
        <v>188.83641812399071</v>
      </c>
    </row>
    <row r="25" spans="2:19" s="1" customFormat="1">
      <c r="B25" s="8"/>
      <c r="C25" s="381" t="s">
        <v>0</v>
      </c>
      <c r="D25" s="382"/>
      <c r="E25" s="188">
        <f>SUM(E26:E28)</f>
        <v>4391.103244691175</v>
      </c>
      <c r="F25" s="339">
        <f>SUM(F26:F28)</f>
        <v>4313.4018167947188</v>
      </c>
      <c r="G25" s="189">
        <f>((F25/E25)-1)</f>
        <v>-1.7695194935440584E-2</v>
      </c>
      <c r="H25" s="227">
        <f>SUM(H26:H28)</f>
        <v>40612.051944356397</v>
      </c>
      <c r="I25" s="339">
        <f>SUM(I26:I28)</f>
        <v>36830.171180627098</v>
      </c>
      <c r="J25" s="189">
        <f>((I25/H25)-1)</f>
        <v>-9.3122129581409752E-2</v>
      </c>
      <c r="K25" s="9"/>
      <c r="Q25" s="144" t="s">
        <v>0</v>
      </c>
      <c r="R25" s="145">
        <f>E25</f>
        <v>4391.103244691175</v>
      </c>
      <c r="S25" s="145">
        <f>F25</f>
        <v>4313.4018167947188</v>
      </c>
    </row>
    <row r="26" spans="2:19" s="1" customFormat="1">
      <c r="B26" s="8"/>
      <c r="C26" s="259" t="s">
        <v>62</v>
      </c>
      <c r="D26" s="267" t="s">
        <v>102</v>
      </c>
      <c r="E26" s="155">
        <v>4271.4516490525002</v>
      </c>
      <c r="F26" s="340">
        <v>4190.8547503974987</v>
      </c>
      <c r="G26" s="156">
        <f t="shared" ref="G26:G32" si="0">((F26/E26)-1)</f>
        <v>-1.8868737206209407E-2</v>
      </c>
      <c r="H26" s="228">
        <v>39429.862053555007</v>
      </c>
      <c r="I26" s="340">
        <v>35753.338549247506</v>
      </c>
      <c r="J26" s="156">
        <f t="shared" ref="J26:J32" si="1">((I26/H26)-1)</f>
        <v>-9.3242109224574987E-2</v>
      </c>
      <c r="K26" s="9"/>
    </row>
    <row r="27" spans="2:19" s="1" customFormat="1">
      <c r="B27" s="8"/>
      <c r="C27" s="260" t="s">
        <v>104</v>
      </c>
      <c r="D27" s="268" t="s">
        <v>77</v>
      </c>
      <c r="E27" s="262">
        <v>81.151184696613598</v>
      </c>
      <c r="F27" s="341">
        <v>78.973098473699352</v>
      </c>
      <c r="G27" s="271">
        <f t="shared" si="0"/>
        <v>-2.6839857373088138E-2</v>
      </c>
      <c r="H27" s="263">
        <v>785.6185489206656</v>
      </c>
      <c r="I27" s="341">
        <v>738.23801586297714</v>
      </c>
      <c r="J27" s="271">
        <f t="shared" si="1"/>
        <v>-6.0309845182223598E-2</v>
      </c>
      <c r="K27" s="9"/>
    </row>
    <row r="28" spans="2:19" s="1" customFormat="1">
      <c r="B28" s="8"/>
      <c r="C28" s="261" t="s">
        <v>64</v>
      </c>
      <c r="D28" s="269" t="s">
        <v>77</v>
      </c>
      <c r="E28" s="155">
        <v>38.500410942061137</v>
      </c>
      <c r="F28" s="340">
        <v>43.573967923520655</v>
      </c>
      <c r="G28" s="270">
        <f t="shared" si="0"/>
        <v>0.13177929422869439</v>
      </c>
      <c r="H28" s="228">
        <v>396.5713418807228</v>
      </c>
      <c r="I28" s="340">
        <v>338.59461551661576</v>
      </c>
      <c r="J28" s="270">
        <f t="shared" si="1"/>
        <v>-0.14619494714155301</v>
      </c>
      <c r="K28" s="9"/>
    </row>
    <row r="29" spans="2:19" s="1" customFormat="1">
      <c r="B29" s="8"/>
      <c r="C29" s="381" t="s">
        <v>76</v>
      </c>
      <c r="D29" s="382"/>
      <c r="E29" s="188">
        <f>SUM(E30:E31)</f>
        <v>210.32803918513918</v>
      </c>
      <c r="F29" s="339">
        <f>SUM(F30:F31)</f>
        <v>188.83641812399071</v>
      </c>
      <c r="G29" s="189">
        <f t="shared" si="0"/>
        <v>-0.10218143593413465</v>
      </c>
      <c r="H29" s="227">
        <f>SUM(H30:H31)</f>
        <v>1840.8862192619772</v>
      </c>
      <c r="I29" s="339">
        <f>SUM(I30:I31)</f>
        <v>1608.569932152923</v>
      </c>
      <c r="J29" s="189">
        <f t="shared" si="1"/>
        <v>-0.12619806953750312</v>
      </c>
      <c r="K29" s="9"/>
      <c r="Q29" s="144"/>
      <c r="R29" s="144"/>
      <c r="S29" s="144"/>
    </row>
    <row r="30" spans="2:19" s="1" customFormat="1">
      <c r="B30" s="8"/>
      <c r="C30" s="264" t="s">
        <v>68</v>
      </c>
      <c r="D30" s="151"/>
      <c r="E30" s="155">
        <v>43.146166569342718</v>
      </c>
      <c r="F30" s="340">
        <v>44.858396776385604</v>
      </c>
      <c r="G30" s="270">
        <f t="shared" si="0"/>
        <v>3.9684410996074559E-2</v>
      </c>
      <c r="H30" s="228">
        <v>395.17282253492669</v>
      </c>
      <c r="I30" s="340">
        <v>355.00852170612421</v>
      </c>
      <c r="J30" s="270">
        <f t="shared" si="1"/>
        <v>-0.10163730534696025</v>
      </c>
      <c r="K30" s="9"/>
    </row>
    <row r="31" spans="2:19" s="1" customFormat="1" ht="13.5" thickBot="1">
      <c r="B31" s="8"/>
      <c r="C31" s="265" t="s">
        <v>64</v>
      </c>
      <c r="D31" s="266"/>
      <c r="E31" s="158">
        <v>167.18187261579646</v>
      </c>
      <c r="F31" s="315">
        <v>143.97802134760511</v>
      </c>
      <c r="G31" s="159">
        <f t="shared" si="0"/>
        <v>-0.13879406244908221</v>
      </c>
      <c r="H31" s="229">
        <v>1445.7133967270506</v>
      </c>
      <c r="I31" s="315">
        <v>1253.5614104467988</v>
      </c>
      <c r="J31" s="291">
        <f t="shared" si="1"/>
        <v>-0.13291153468956196</v>
      </c>
      <c r="K31" s="9"/>
    </row>
    <row r="32" spans="2:19" s="1" customFormat="1" ht="14.25" thickTop="1" thickBot="1">
      <c r="B32" s="8"/>
      <c r="C32" s="376" t="s">
        <v>106</v>
      </c>
      <c r="D32" s="377"/>
      <c r="E32" s="190">
        <f>SUM(E25,E29)</f>
        <v>4601.4312838763144</v>
      </c>
      <c r="F32" s="342">
        <f>SUM(F25,F29)</f>
        <v>4502.2382349187092</v>
      </c>
      <c r="G32" s="191">
        <f t="shared" si="0"/>
        <v>-2.1556998863632604E-2</v>
      </c>
      <c r="H32" s="230">
        <f>SUM(H25,H29)</f>
        <v>42452.938163618375</v>
      </c>
      <c r="I32" s="342">
        <f>SUM(I25,I29)</f>
        <v>38438.741112780022</v>
      </c>
      <c r="J32" s="191">
        <f t="shared" si="1"/>
        <v>-9.455640114630437E-2</v>
      </c>
      <c r="K32" s="9"/>
    </row>
    <row r="33" spans="2:19" s="1" customFormat="1">
      <c r="B33" s="8"/>
      <c r="C33" s="302" t="s">
        <v>103</v>
      </c>
      <c r="D33" s="160"/>
      <c r="E33" s="160"/>
      <c r="F33" s="161"/>
      <c r="G33" s="129"/>
      <c r="H33" s="160"/>
      <c r="I33" s="160"/>
      <c r="J33" s="129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116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5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7"/>
      <c r="D38" s="148"/>
      <c r="E38" s="386" t="s">
        <v>126</v>
      </c>
      <c r="F38" s="387"/>
      <c r="G38" s="388" t="s">
        <v>74</v>
      </c>
      <c r="H38" s="390" t="s">
        <v>127</v>
      </c>
      <c r="I38" s="391"/>
      <c r="J38" s="388" t="s">
        <v>74</v>
      </c>
      <c r="K38" s="9"/>
      <c r="Q38" s="144"/>
      <c r="R38" s="144">
        <v>2019</v>
      </c>
      <c r="S38" s="144">
        <v>2020</v>
      </c>
    </row>
    <row r="39" spans="2:19" s="1" customFormat="1" ht="12.75" customHeight="1">
      <c r="B39" s="8"/>
      <c r="C39" s="150" t="s">
        <v>75</v>
      </c>
      <c r="D39" s="151"/>
      <c r="E39" s="152">
        <v>2019</v>
      </c>
      <c r="F39" s="338">
        <v>2020</v>
      </c>
      <c r="G39" s="389"/>
      <c r="H39" s="231">
        <v>2019</v>
      </c>
      <c r="I39" s="343">
        <v>2020</v>
      </c>
      <c r="J39" s="389"/>
      <c r="K39" s="9"/>
      <c r="Q39" s="144" t="s">
        <v>66</v>
      </c>
      <c r="R39" s="145">
        <f>SUM(E41,E46)</f>
        <v>1904.2101474020749</v>
      </c>
      <c r="S39" s="145">
        <f>SUM(F41,F46)</f>
        <v>1915.7817912019373</v>
      </c>
    </row>
    <row r="40" spans="2:19" s="1" customFormat="1">
      <c r="B40" s="8"/>
      <c r="C40" s="381" t="s">
        <v>68</v>
      </c>
      <c r="D40" s="382"/>
      <c r="E40" s="188">
        <f>SUM(E41:E44)</f>
        <v>4395.7490003184566</v>
      </c>
      <c r="F40" s="339">
        <f>SUM(F41:F44)</f>
        <v>4314.6862456475837</v>
      </c>
      <c r="G40" s="189">
        <f>((F40/E40)-1)</f>
        <v>-1.8441170017896913E-2</v>
      </c>
      <c r="H40" s="227">
        <f>SUM(H41:H44)</f>
        <v>40610.653425010591</v>
      </c>
      <c r="I40" s="339">
        <f>SUM(I41:I44)</f>
        <v>36846.585086816602</v>
      </c>
      <c r="J40" s="189">
        <f>((I40/H40)-1)</f>
        <v>-9.2686721851065745E-2</v>
      </c>
      <c r="K40" s="9"/>
      <c r="Q40" s="144" t="s">
        <v>65</v>
      </c>
      <c r="R40" s="145">
        <f>SUM(E42,E47)</f>
        <v>2481.5008444742393</v>
      </c>
      <c r="S40" s="145">
        <f>SUM(F42,F47)</f>
        <v>2342.4181678142722</v>
      </c>
    </row>
    <row r="41" spans="2:19" s="1" customFormat="1">
      <c r="B41" s="8"/>
      <c r="C41" s="154" t="s">
        <v>66</v>
      </c>
      <c r="D41" s="130"/>
      <c r="E41" s="155">
        <v>1860.307380318457</v>
      </c>
      <c r="F41" s="340">
        <f>D12</f>
        <v>1873.582593615934</v>
      </c>
      <c r="G41" s="270">
        <f t="shared" ref="G41:G48" si="2">((F41/E41)-1)</f>
        <v>7.1360321621711797E-3</v>
      </c>
      <c r="H41" s="228">
        <v>22841.11651961309</v>
      </c>
      <c r="I41" s="340">
        <v>23202.099018148987</v>
      </c>
      <c r="J41" s="270">
        <f t="shared" ref="J41:J48" si="3">((I41/H41)-1)</f>
        <v>1.5804065367204467E-2</v>
      </c>
      <c r="K41" s="9"/>
      <c r="Q41" s="144" t="s">
        <v>67</v>
      </c>
      <c r="R41" s="145">
        <f>E43</f>
        <v>148.46268099999998</v>
      </c>
      <c r="S41" s="145">
        <f>F43</f>
        <v>173.6079341425</v>
      </c>
    </row>
    <row r="42" spans="2:19" s="1" customFormat="1">
      <c r="B42" s="8"/>
      <c r="C42" s="154" t="s">
        <v>65</v>
      </c>
      <c r="D42" s="130"/>
      <c r="E42" s="155">
        <v>2319.7213279999996</v>
      </c>
      <c r="F42" s="340">
        <f>D13</f>
        <v>2197.0653761291496</v>
      </c>
      <c r="G42" s="270">
        <f t="shared" si="2"/>
        <v>-5.2875296006611561E-2</v>
      </c>
      <c r="H42" s="228">
        <v>16006.207940397499</v>
      </c>
      <c r="I42" s="340">
        <v>11769.922230942615</v>
      </c>
      <c r="J42" s="270">
        <f t="shared" si="3"/>
        <v>-0.26466516774176552</v>
      </c>
      <c r="K42" s="9"/>
      <c r="Q42" s="144" t="s">
        <v>5</v>
      </c>
      <c r="R42" s="145">
        <f>E44</f>
        <v>67.257610999999983</v>
      </c>
      <c r="S42" s="145">
        <f>F44</f>
        <v>70.43034175999999</v>
      </c>
    </row>
    <row r="43" spans="2:19" s="1" customFormat="1">
      <c r="B43" s="8"/>
      <c r="C43" s="154" t="s">
        <v>67</v>
      </c>
      <c r="D43" s="130"/>
      <c r="E43" s="155">
        <v>148.46268099999998</v>
      </c>
      <c r="F43" s="340">
        <f>D14</f>
        <v>173.6079341425</v>
      </c>
      <c r="G43" s="270">
        <f t="shared" si="2"/>
        <v>0.16937086797253809</v>
      </c>
      <c r="H43" s="228">
        <v>1231.1423650000002</v>
      </c>
      <c r="I43" s="340">
        <v>1328.1514745900001</v>
      </c>
      <c r="J43" s="270">
        <f t="shared" si="3"/>
        <v>7.8796012831546136E-2</v>
      </c>
      <c r="K43" s="9"/>
    </row>
    <row r="44" spans="2:19" s="1" customFormat="1">
      <c r="B44" s="8"/>
      <c r="C44" s="154" t="s">
        <v>5</v>
      </c>
      <c r="D44" s="130"/>
      <c r="E44" s="155">
        <v>67.257610999999983</v>
      </c>
      <c r="F44" s="340">
        <f>D15</f>
        <v>70.43034175999999</v>
      </c>
      <c r="G44" s="93">
        <f t="shared" si="2"/>
        <v>4.7172813795006929E-2</v>
      </c>
      <c r="H44" s="228">
        <v>532.1866</v>
      </c>
      <c r="I44" s="340">
        <v>546.41236313499996</v>
      </c>
      <c r="J44" s="156">
        <f t="shared" si="3"/>
        <v>2.6730780397326681E-2</v>
      </c>
      <c r="K44" s="9"/>
      <c r="Q44" s="144"/>
      <c r="R44" s="144"/>
      <c r="S44" s="144"/>
    </row>
    <row r="45" spans="2:19" s="1" customFormat="1">
      <c r="B45" s="8"/>
      <c r="C45" s="381" t="s">
        <v>64</v>
      </c>
      <c r="D45" s="382"/>
      <c r="E45" s="188">
        <f>SUM(E46:E47)</f>
        <v>205.68228355785763</v>
      </c>
      <c r="F45" s="339">
        <f>SUM(F46:F47)</f>
        <v>187.55198927112576</v>
      </c>
      <c r="G45" s="189">
        <f t="shared" si="2"/>
        <v>-8.8147087698157933E-2</v>
      </c>
      <c r="H45" s="227">
        <f>SUM(H46:H47)</f>
        <v>1842.2847386077738</v>
      </c>
      <c r="I45" s="339">
        <f>SUM(I46:I47)</f>
        <v>1592.1560259634143</v>
      </c>
      <c r="J45" s="189">
        <f t="shared" si="3"/>
        <v>-0.13577093019474462</v>
      </c>
      <c r="K45" s="9"/>
    </row>
    <row r="46" spans="2:19" s="1" customFormat="1">
      <c r="B46" s="8"/>
      <c r="C46" s="154" t="s">
        <v>66</v>
      </c>
      <c r="D46" s="130"/>
      <c r="E46" s="155">
        <v>43.902767083617881</v>
      </c>
      <c r="F46" s="340">
        <f>E12</f>
        <v>42.199197586003301</v>
      </c>
      <c r="G46" s="156">
        <f t="shared" si="2"/>
        <v>-3.8803237490018239E-2</v>
      </c>
      <c r="H46" s="228">
        <v>520.04668176208349</v>
      </c>
      <c r="I46" s="340">
        <v>463.69394052859616</v>
      </c>
      <c r="J46" s="156">
        <f t="shared" si="3"/>
        <v>-0.10836092837386513</v>
      </c>
      <c r="K46" s="9"/>
    </row>
    <row r="47" spans="2:19" s="1" customFormat="1" ht="13.5" thickBot="1">
      <c r="B47" s="8"/>
      <c r="C47" s="157" t="s">
        <v>65</v>
      </c>
      <c r="D47" s="130"/>
      <c r="E47" s="158">
        <v>161.77951647423976</v>
      </c>
      <c r="F47" s="315">
        <f>E13</f>
        <v>145.35279168512247</v>
      </c>
      <c r="G47" s="291">
        <f t="shared" si="2"/>
        <v>-0.10153772954150797</v>
      </c>
      <c r="H47" s="229">
        <v>1322.2380568456902</v>
      </c>
      <c r="I47" s="315">
        <v>1128.4620854348182</v>
      </c>
      <c r="J47" s="159">
        <f t="shared" si="3"/>
        <v>-0.14655150062246791</v>
      </c>
      <c r="K47" s="9"/>
    </row>
    <row r="48" spans="2:19" s="1" customFormat="1" ht="14.25" thickTop="1" thickBot="1">
      <c r="B48" s="8"/>
      <c r="C48" s="376" t="s">
        <v>106</v>
      </c>
      <c r="D48" s="377"/>
      <c r="E48" s="190">
        <f>SUM(E40,E45)</f>
        <v>4601.4312838763144</v>
      </c>
      <c r="F48" s="342">
        <f>SUM(F40,F45)</f>
        <v>4502.2382349187092</v>
      </c>
      <c r="G48" s="191">
        <f t="shared" si="2"/>
        <v>-2.1556998863632604E-2</v>
      </c>
      <c r="H48" s="230">
        <f>SUM(H40,H45)</f>
        <v>42452.938163618368</v>
      </c>
      <c r="I48" s="342">
        <f>SUM(I40,I45)</f>
        <v>38438.741112780015</v>
      </c>
      <c r="J48" s="191">
        <f t="shared" si="3"/>
        <v>-9.455640114630437E-2</v>
      </c>
      <c r="K48" s="9"/>
    </row>
    <row r="49" spans="2:23" s="1" customFormat="1">
      <c r="B49" s="8"/>
      <c r="C49" s="257"/>
      <c r="D49" s="90"/>
      <c r="E49" s="91"/>
      <c r="F49" s="91"/>
      <c r="G49" s="94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4"/>
      <c r="H50" s="9"/>
      <c r="I50" s="9"/>
      <c r="J50" s="9"/>
      <c r="K50" s="9"/>
    </row>
    <row r="51" spans="2:23" s="1" customFormat="1">
      <c r="B51" s="8"/>
      <c r="C51" s="10" t="s">
        <v>121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2"/>
    </row>
    <row r="53" spans="2:23" s="1" customFormat="1" ht="13.5" thickBot="1">
      <c r="B53" s="8"/>
      <c r="C53" s="10"/>
      <c r="H53" s="9"/>
      <c r="I53" s="9"/>
      <c r="J53" s="9"/>
      <c r="K53" s="9"/>
      <c r="L53" s="252"/>
      <c r="M53" s="252"/>
    </row>
    <row r="54" spans="2:23" s="1" customFormat="1" ht="12.75" customHeight="1">
      <c r="B54" s="8"/>
      <c r="C54" s="147"/>
      <c r="D54" s="148"/>
      <c r="E54" s="386" t="s">
        <v>126</v>
      </c>
      <c r="F54" s="387"/>
      <c r="G54" s="388" t="s">
        <v>74</v>
      </c>
      <c r="H54" s="390" t="s">
        <v>127</v>
      </c>
      <c r="I54" s="391"/>
      <c r="J54" s="388" t="s">
        <v>74</v>
      </c>
      <c r="K54" s="9"/>
      <c r="L54" s="252"/>
      <c r="M54" s="252"/>
    </row>
    <row r="55" spans="2:23" s="1" customFormat="1" ht="12.75" customHeight="1">
      <c r="B55" s="8"/>
      <c r="C55" s="150" t="s">
        <v>75</v>
      </c>
      <c r="D55" s="151"/>
      <c r="E55" s="152">
        <v>2019</v>
      </c>
      <c r="F55" s="338">
        <v>2020</v>
      </c>
      <c r="G55" s="389"/>
      <c r="H55" s="231">
        <v>2019</v>
      </c>
      <c r="I55" s="343">
        <v>2020</v>
      </c>
      <c r="J55" s="389"/>
      <c r="K55" s="9"/>
      <c r="L55" s="252"/>
      <c r="M55" s="252"/>
    </row>
    <row r="56" spans="2:23" s="1" customFormat="1">
      <c r="B56" s="8"/>
      <c r="C56" s="381" t="s">
        <v>68</v>
      </c>
      <c r="D56" s="382"/>
      <c r="E56" s="188">
        <f>SUM(E57:E60)</f>
        <v>4395.7490003184566</v>
      </c>
      <c r="F56" s="339">
        <f>SUM(F57:F60)</f>
        <v>4314.6862456475837</v>
      </c>
      <c r="G56" s="189">
        <f>((F56/E56)-1)</f>
        <v>-1.8441170017896913E-2</v>
      </c>
      <c r="H56" s="227">
        <f>SUM(H57:H60)</f>
        <v>40610.653425010591</v>
      </c>
      <c r="I56" s="339">
        <f>SUM(I57:I60)</f>
        <v>36846.585086816602</v>
      </c>
      <c r="J56" s="189">
        <f>((I56/H56)-1)</f>
        <v>-9.2686721851065745E-2</v>
      </c>
      <c r="K56" s="9"/>
    </row>
    <row r="57" spans="2:23" s="1" customFormat="1" ht="25.5">
      <c r="B57" s="8"/>
      <c r="C57" s="379" t="s">
        <v>78</v>
      </c>
      <c r="D57" s="272" t="s">
        <v>79</v>
      </c>
      <c r="E57" s="353">
        <f>SUM(E43:E44)+26.664048</f>
        <v>242.38433999999998</v>
      </c>
      <c r="F57" s="354">
        <f>SUM(F43:F44)+24.081251461545</f>
        <v>268.11952736404498</v>
      </c>
      <c r="G57" s="166">
        <f t="shared" ref="G57:G65" si="4">((F57/E57)-1)</f>
        <v>0.10617512403666418</v>
      </c>
      <c r="H57" s="355">
        <f>SUM(H43:H44)+235.049438</f>
        <v>1998.3784030000002</v>
      </c>
      <c r="I57" s="354">
        <f>SUM(I43:I44)+188.795330981545</f>
        <v>2063.359168706545</v>
      </c>
      <c r="J57" s="166">
        <f t="shared" ref="J57:J65" si="5">((I57/H57)-1)</f>
        <v>3.2516747383275701E-2</v>
      </c>
      <c r="K57" s="9"/>
      <c r="L57" s="252"/>
      <c r="Q57" s="144"/>
      <c r="R57" s="144"/>
      <c r="T57" s="144">
        <v>2019</v>
      </c>
      <c r="U57" s="144">
        <v>2020</v>
      </c>
      <c r="V57" s="144"/>
      <c r="W57" s="144"/>
    </row>
    <row r="58" spans="2:23" s="1" customFormat="1" ht="13.5">
      <c r="B58" s="8"/>
      <c r="C58" s="380"/>
      <c r="D58" s="273" t="s">
        <v>108</v>
      </c>
      <c r="E58" s="262">
        <v>104.46456157749984</v>
      </c>
      <c r="F58" s="341">
        <v>109.20244884</v>
      </c>
      <c r="G58" s="271">
        <f t="shared" si="4"/>
        <v>4.5354014710388135E-2</v>
      </c>
      <c r="H58" s="263">
        <v>1288.4318963999997</v>
      </c>
      <c r="I58" s="341">
        <v>1612.4186433725004</v>
      </c>
      <c r="J58" s="271">
        <f t="shared" si="5"/>
        <v>0.2514581856268463</v>
      </c>
      <c r="K58" s="9"/>
      <c r="L58" s="252"/>
      <c r="M58" s="252"/>
      <c r="Q58" s="385" t="s">
        <v>80</v>
      </c>
      <c r="R58" s="144" t="s">
        <v>66</v>
      </c>
      <c r="T58" s="145">
        <f>SUM(E60,E64)</f>
        <v>1799.7455858245751</v>
      </c>
      <c r="U58" s="145">
        <f>SUM(F60,F64)</f>
        <v>1806.5793423619373</v>
      </c>
      <c r="V58" s="146">
        <f t="shared" ref="V58:W61" si="6">T58/T$64</f>
        <v>0.3911273416449767</v>
      </c>
      <c r="W58" s="146">
        <f t="shared" si="6"/>
        <v>0.40126249391921748</v>
      </c>
    </row>
    <row r="59" spans="2:23" s="1" customFormat="1">
      <c r="B59" s="8"/>
      <c r="C59" s="378" t="s">
        <v>80</v>
      </c>
      <c r="D59" s="274" t="s">
        <v>81</v>
      </c>
      <c r="E59" s="155">
        <f>SUM(E42:E44)-E57</f>
        <v>2293.0572799999995</v>
      </c>
      <c r="F59" s="340">
        <f>SUM(F42:F44)-F57</f>
        <v>2172.9841246676046</v>
      </c>
      <c r="G59" s="270">
        <f t="shared" si="4"/>
        <v>-5.2363783661084518E-2</v>
      </c>
      <c r="H59" s="228">
        <f>SUM(H42:H44)-H57</f>
        <v>15771.1585023975</v>
      </c>
      <c r="I59" s="340">
        <f>SUM(I42:I44)-I57</f>
        <v>11581.126899961069</v>
      </c>
      <c r="J59" s="270">
        <f t="shared" si="5"/>
        <v>-0.26567684306764594</v>
      </c>
      <c r="K59" s="9"/>
      <c r="Q59" s="385"/>
      <c r="R59" s="144" t="s">
        <v>65</v>
      </c>
      <c r="T59" s="145">
        <f>SUM(E59,E63)</f>
        <v>2432.5064744742394</v>
      </c>
      <c r="U59" s="145">
        <f>SUM(F59,F63)</f>
        <v>2291.4320245046397</v>
      </c>
      <c r="V59" s="146">
        <f t="shared" si="6"/>
        <v>0.52864126929329247</v>
      </c>
      <c r="W59" s="146">
        <f t="shared" si="6"/>
        <v>0.50895397021255417</v>
      </c>
    </row>
    <row r="60" spans="2:23" s="1" customFormat="1">
      <c r="B60" s="8"/>
      <c r="C60" s="378"/>
      <c r="D60" s="275" t="s">
        <v>41</v>
      </c>
      <c r="E60" s="155">
        <f>E41-E58</f>
        <v>1755.8428187409572</v>
      </c>
      <c r="F60" s="340">
        <f>F41-F58</f>
        <v>1764.380144775934</v>
      </c>
      <c r="G60" s="351">
        <f t="shared" si="4"/>
        <v>4.8622382048402191E-3</v>
      </c>
      <c r="H60" s="228">
        <f>H41-H58</f>
        <v>21552.684623213088</v>
      </c>
      <c r="I60" s="340">
        <f>I41-I58</f>
        <v>21589.680374776486</v>
      </c>
      <c r="J60" s="351">
        <f t="shared" si="5"/>
        <v>1.7165263729397306E-3</v>
      </c>
      <c r="K60" s="9"/>
      <c r="Q60" s="385" t="s">
        <v>78</v>
      </c>
      <c r="R60" s="144" t="s">
        <v>66</v>
      </c>
      <c r="T60" s="145">
        <f>E58</f>
        <v>104.46456157749984</v>
      </c>
      <c r="U60" s="145">
        <f>F58</f>
        <v>109.20244884</v>
      </c>
      <c r="V60" s="146">
        <f t="shared" si="6"/>
        <v>2.2702623408405509E-2</v>
      </c>
      <c r="W60" s="146">
        <f t="shared" si="6"/>
        <v>2.4255146694157934E-2</v>
      </c>
    </row>
    <row r="61" spans="2:23" s="1" customFormat="1">
      <c r="B61" s="8"/>
      <c r="C61" s="381" t="s">
        <v>64</v>
      </c>
      <c r="D61" s="382"/>
      <c r="E61" s="188">
        <f>SUM(E62:E64)</f>
        <v>205.68228355785763</v>
      </c>
      <c r="F61" s="339">
        <f>SUM(F62:F64)</f>
        <v>187.55198927112576</v>
      </c>
      <c r="G61" s="189">
        <f t="shared" si="4"/>
        <v>-8.8147087698157933E-2</v>
      </c>
      <c r="H61" s="227">
        <f>SUM(H62:H64)</f>
        <v>1842.2847386077738</v>
      </c>
      <c r="I61" s="339">
        <f>SUM(I62:I64)</f>
        <v>1592.1560259634143</v>
      </c>
      <c r="J61" s="189">
        <f t="shared" si="5"/>
        <v>-0.13577093019474462</v>
      </c>
      <c r="K61" s="9"/>
      <c r="Q61" s="385"/>
      <c r="R61" s="144" t="s">
        <v>89</v>
      </c>
      <c r="T61" s="145">
        <f>E57+E62</f>
        <v>264.71466199999998</v>
      </c>
      <c r="U61" s="145">
        <f>F57+F62</f>
        <v>295.02441921213244</v>
      </c>
      <c r="V61" s="146">
        <f t="shared" si="6"/>
        <v>5.7528765653325237E-2</v>
      </c>
      <c r="W61" s="146">
        <f t="shared" si="6"/>
        <v>6.5528389174070265E-2</v>
      </c>
    </row>
    <row r="62" spans="2:23" s="1" customFormat="1">
      <c r="B62" s="8"/>
      <c r="C62" s="303" t="s">
        <v>78</v>
      </c>
      <c r="D62" s="304" t="s">
        <v>112</v>
      </c>
      <c r="E62" s="368">
        <v>22.330321999999999</v>
      </c>
      <c r="F62" s="357">
        <v>26.904891848087438</v>
      </c>
      <c r="G62" s="305">
        <f t="shared" si="4"/>
        <v>0.20485910808126451</v>
      </c>
      <c r="H62" s="356">
        <v>161.85358143999997</v>
      </c>
      <c r="I62" s="357">
        <v>171.45700364808744</v>
      </c>
      <c r="J62" s="305">
        <f t="shared" si="5"/>
        <v>5.9334011163957534E-2</v>
      </c>
      <c r="K62" s="9"/>
      <c r="Q62" s="144"/>
      <c r="R62" s="144"/>
      <c r="T62" s="144"/>
      <c r="U62" s="144"/>
      <c r="V62" s="144"/>
      <c r="W62" s="144"/>
    </row>
    <row r="63" spans="2:23" s="1" customFormat="1">
      <c r="B63" s="8"/>
      <c r="C63" s="383" t="s">
        <v>80</v>
      </c>
      <c r="D63" s="274" t="s">
        <v>81</v>
      </c>
      <c r="E63" s="155">
        <f>E47-E62</f>
        <v>139.44919447423976</v>
      </c>
      <c r="F63" s="340">
        <f>F47-F62</f>
        <v>118.44789983703504</v>
      </c>
      <c r="G63" s="270">
        <f t="shared" ref="G63" si="7">((F63/E63)-1)</f>
        <v>-0.15060176372036527</v>
      </c>
      <c r="H63" s="228">
        <f>H47-H62</f>
        <v>1160.3844754056902</v>
      </c>
      <c r="I63" s="340">
        <f>I47-I62</f>
        <v>957.00508178673067</v>
      </c>
      <c r="J63" s="270">
        <f t="shared" ref="J63" si="8">((I63/H63)-1)</f>
        <v>-0.17526897156035681</v>
      </c>
      <c r="K63" s="9"/>
      <c r="Q63" s="144"/>
      <c r="R63" s="144"/>
      <c r="T63" s="144"/>
      <c r="U63" s="144"/>
      <c r="V63" s="144"/>
      <c r="W63" s="144"/>
    </row>
    <row r="64" spans="2:23" s="1" customFormat="1" ht="13.5" thickBot="1">
      <c r="B64" s="8"/>
      <c r="C64" s="384"/>
      <c r="D64" s="276" t="s">
        <v>41</v>
      </c>
      <c r="E64" s="369">
        <f>E46</f>
        <v>43.902767083617881</v>
      </c>
      <c r="F64" s="370">
        <f>F46</f>
        <v>42.199197586003301</v>
      </c>
      <c r="G64" s="291">
        <f t="shared" si="4"/>
        <v>-3.8803237490018239E-2</v>
      </c>
      <c r="H64" s="229">
        <f>H46</f>
        <v>520.04668176208349</v>
      </c>
      <c r="I64" s="315">
        <f>I46</f>
        <v>463.69394052859616</v>
      </c>
      <c r="J64" s="159">
        <f t="shared" si="5"/>
        <v>-0.10836092837386513</v>
      </c>
      <c r="K64" s="9"/>
      <c r="Q64" s="144"/>
      <c r="R64" s="144"/>
      <c r="T64" s="145">
        <f>SUM(T58:T61)</f>
        <v>4601.4312838763144</v>
      </c>
      <c r="U64" s="145">
        <f>SUM(U58:U61)</f>
        <v>4502.2382349187101</v>
      </c>
      <c r="V64" s="144"/>
      <c r="W64" s="144"/>
    </row>
    <row r="65" spans="2:22" s="1" customFormat="1" ht="14.25" thickTop="1" thickBot="1">
      <c r="B65" s="8"/>
      <c r="C65" s="376" t="s">
        <v>106</v>
      </c>
      <c r="D65" s="377"/>
      <c r="E65" s="190">
        <f>SUM(E56,E61)</f>
        <v>4601.4312838763144</v>
      </c>
      <c r="F65" s="342">
        <f>SUM(F56,F61)</f>
        <v>4502.2382349187092</v>
      </c>
      <c r="G65" s="191">
        <f t="shared" si="4"/>
        <v>-2.1556998863632604E-2</v>
      </c>
      <c r="H65" s="230">
        <f>SUM(H56,H61)</f>
        <v>42452.938163618368</v>
      </c>
      <c r="I65" s="342">
        <f>SUM(I56,I61)</f>
        <v>38438.741112780015</v>
      </c>
      <c r="J65" s="191">
        <f t="shared" si="5"/>
        <v>-9.455640114630437E-2</v>
      </c>
      <c r="K65" s="9"/>
      <c r="Q65" s="144"/>
      <c r="R65" s="144"/>
      <c r="S65" s="144"/>
      <c r="T65" s="144"/>
      <c r="U65" s="144"/>
      <c r="V65" s="144"/>
    </row>
    <row r="66" spans="2:22" s="1" customFormat="1">
      <c r="B66" s="8"/>
      <c r="C66" s="257" t="s">
        <v>109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4"/>
      <c r="H83" s="9"/>
      <c r="I83" s="9"/>
      <c r="J83" s="9"/>
      <c r="K83" s="9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topLeftCell="A37" zoomScaleNormal="100" zoomScaleSheetLayoutView="100" workbookViewId="0">
      <selection activeCell="H57" sqref="H57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7" width="11.7109375" style="20" customWidth="1"/>
    <col min="8" max="8" width="12.7109375" style="20" customWidth="1"/>
    <col min="9" max="9" width="9.7109375" style="20" customWidth="1"/>
    <col min="10" max="10" width="6.85546875" style="20" customWidth="1"/>
    <col min="11" max="11" width="6.85546875" style="54" customWidth="1"/>
    <col min="12" max="12" width="27.5703125" style="54" customWidth="1"/>
    <col min="13" max="13" width="21.85546875" style="55" customWidth="1"/>
    <col min="14" max="21" width="11.42578125" style="55"/>
    <col min="22" max="25" width="11.42578125" style="57"/>
    <col min="26" max="28" width="11.425781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5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5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122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1915.7817912019373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2221.9898380472737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69.167788083967935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50.986143309632439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173.6079341425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70.43034175999999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77">
        <f t="shared" si="0"/>
        <v>0.27439837339760048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4502.2382349187092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09"/>
      <c r="G23" s="256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117</v>
      </c>
      <c r="D24" s="9"/>
      <c r="E24" s="13"/>
      <c r="F24" s="13"/>
      <c r="G24" s="13"/>
      <c r="H24" s="26"/>
      <c r="I24" s="26"/>
      <c r="J24" s="292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5" thickBot="1">
      <c r="B25" s="10"/>
      <c r="C25" s="129"/>
      <c r="D25" s="129"/>
      <c r="E25" s="162"/>
      <c r="F25" s="162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293" t="s">
        <v>61</v>
      </c>
      <c r="D26" s="400" t="s">
        <v>126</v>
      </c>
      <c r="E26" s="400"/>
      <c r="F26" s="396" t="s">
        <v>74</v>
      </c>
      <c r="G26" s="394" t="s">
        <v>127</v>
      </c>
      <c r="H26" s="395"/>
      <c r="I26" s="396" t="s">
        <v>74</v>
      </c>
      <c r="J26" s="20"/>
      <c r="K26" s="54"/>
      <c r="L26" s="54"/>
      <c r="M26" s="55"/>
      <c r="N26" s="70">
        <v>2019</v>
      </c>
      <c r="O26" s="70">
        <v>2020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294"/>
      <c r="D27" s="95">
        <v>2019</v>
      </c>
      <c r="E27" s="96">
        <v>2020</v>
      </c>
      <c r="F27" s="397"/>
      <c r="G27" s="232">
        <v>2019</v>
      </c>
      <c r="H27" s="96">
        <v>2020</v>
      </c>
      <c r="I27" s="397"/>
      <c r="J27" s="20"/>
      <c r="K27" s="54"/>
      <c r="L27" s="54"/>
      <c r="M27" s="55" t="s">
        <v>85</v>
      </c>
      <c r="N27" s="70">
        <f t="shared" ref="N27:O29" si="1">D28</f>
        <v>1904.2101474020749</v>
      </c>
      <c r="O27" s="70">
        <f t="shared" si="1"/>
        <v>1915.7817912019373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3" t="s">
        <v>85</v>
      </c>
      <c r="D28" s="164">
        <f>'Resumen (G)'!E41+'Resumen (G)'!E46</f>
        <v>1904.2101474020749</v>
      </c>
      <c r="E28" s="165">
        <f>'Resumen (G)'!F41+'Resumen (G)'!F46</f>
        <v>1915.7817912019373</v>
      </c>
      <c r="F28" s="372">
        <f>+E28/D28-1</f>
        <v>6.076873298700658E-3</v>
      </c>
      <c r="G28" s="246">
        <f>'Resumen (G)'!H41+'Resumen (G)'!H46</f>
        <v>23361.163201375173</v>
      </c>
      <c r="H28" s="165">
        <f>'Resumen (G)'!I41+'Resumen (G)'!I46</f>
        <v>23665.792958677583</v>
      </c>
      <c r="I28" s="166">
        <f>+H28/G28-1</f>
        <v>1.304000809704875E-2</v>
      </c>
      <c r="J28" s="292"/>
      <c r="K28" s="54"/>
      <c r="L28" s="54"/>
      <c r="M28" s="55" t="s">
        <v>2</v>
      </c>
      <c r="N28" s="70">
        <f t="shared" si="1"/>
        <v>2319.0175629999999</v>
      </c>
      <c r="O28" s="70">
        <f t="shared" si="1"/>
        <v>2221.9898380472737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67" t="s">
        <v>2</v>
      </c>
      <c r="D29" s="168">
        <v>2319.0175629999999</v>
      </c>
      <c r="E29" s="169">
        <v>2221.9898380472737</v>
      </c>
      <c r="F29" s="170">
        <f t="shared" ref="F29:F35" si="2">+E29/D29-1</f>
        <v>-4.1840012986881447E-2</v>
      </c>
      <c r="G29" s="247">
        <v>15772.009582397503</v>
      </c>
      <c r="H29" s="169">
        <v>11787.848220270052</v>
      </c>
      <c r="I29" s="170">
        <f t="shared" ref="I29:I35" si="3">+H29/G29-1</f>
        <v>-0.25260962094354866</v>
      </c>
      <c r="J29" s="254"/>
      <c r="K29" s="255"/>
      <c r="L29" s="54"/>
      <c r="M29" s="55" t="s">
        <v>84</v>
      </c>
      <c r="N29" s="70">
        <f t="shared" si="1"/>
        <v>113.12188133023938</v>
      </c>
      <c r="O29" s="70">
        <f t="shared" si="1"/>
        <v>69.167788083967935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67" t="s">
        <v>3</v>
      </c>
      <c r="D30" s="168">
        <f>'Resumen (G)'!E32-SUM('TipoRecurso (G)'!D28:D29,'TipoRecurso (G)'!D31:D34)</f>
        <v>113.12188133023938</v>
      </c>
      <c r="E30" s="169">
        <f>'Resumen (G)'!F32-SUM('TipoRecurso (G)'!E28:E29,'TipoRecurso (G)'!E31:E34)</f>
        <v>69.167788083967935</v>
      </c>
      <c r="F30" s="170">
        <f t="shared" si="2"/>
        <v>-0.38855518251111132</v>
      </c>
      <c r="G30" s="247">
        <f>'Resumen (G)'!H32-SUM('TipoRecurso (G)'!G28:G29,'TipoRecurso (G)'!G31:G34)</f>
        <v>1156.1591099616999</v>
      </c>
      <c r="H30" s="169">
        <f>'Resumen (G)'!I32-SUM('TipoRecurso (G)'!H28:H29,'TipoRecurso (G)'!H31:H34)</f>
        <v>748.18636310435977</v>
      </c>
      <c r="I30" s="170">
        <f t="shared" si="3"/>
        <v>-0.35286903276734549</v>
      </c>
      <c r="J30" s="292"/>
      <c r="K30" s="54"/>
      <c r="L30" s="54"/>
      <c r="M30" s="55" t="s">
        <v>4</v>
      </c>
      <c r="N30" s="99">
        <f>D34</f>
        <v>0.367030144</v>
      </c>
      <c r="O30" s="99">
        <f>E34</f>
        <v>0.27439837339760048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67" t="s">
        <v>6</v>
      </c>
      <c r="D31" s="168">
        <f>'Resumen (G)'!E57+'Resumen (G)'!E62-SUM('TipoRecurso (G)'!D32:D33)</f>
        <v>48.994370000000004</v>
      </c>
      <c r="E31" s="169">
        <f>'Resumen (G)'!F57+'Resumen (G)'!F62-SUM('TipoRecurso (G)'!E32:E33)</f>
        <v>50.986143309632439</v>
      </c>
      <c r="F31" s="170">
        <f t="shared" si="2"/>
        <v>4.0653105849354443E-2</v>
      </c>
      <c r="G31" s="247">
        <f>'Resumen (G)'!H57+'Resumen (G)'!H62-SUM('TipoRecurso (G)'!G32:G33)</f>
        <v>396.90301943999975</v>
      </c>
      <c r="H31" s="169">
        <f>'Resumen (G)'!I57+'Resumen (G)'!I62-SUM('TipoRecurso (G)'!H32:H33)</f>
        <v>360.25233462963206</v>
      </c>
      <c r="I31" s="170">
        <f t="shared" si="3"/>
        <v>-9.2341662862829965E-2</v>
      </c>
      <c r="J31" s="20"/>
      <c r="K31" s="54"/>
      <c r="L31" s="54"/>
      <c r="M31" s="55" t="s">
        <v>90</v>
      </c>
      <c r="N31" s="70">
        <f t="shared" ref="N31:O33" si="4">D31</f>
        <v>48.994370000000004</v>
      </c>
      <c r="O31" s="70">
        <f t="shared" si="4"/>
        <v>50.986143309632439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67" t="s">
        <v>14</v>
      </c>
      <c r="D32" s="168">
        <f>'Resumen (G)'!E43</f>
        <v>148.46268099999998</v>
      </c>
      <c r="E32" s="169">
        <f>'Resumen (G)'!F43</f>
        <v>173.6079341425</v>
      </c>
      <c r="F32" s="170">
        <f t="shared" si="2"/>
        <v>0.16937086797253809</v>
      </c>
      <c r="G32" s="247">
        <f>'Resumen (G)'!H43</f>
        <v>1231.1423650000002</v>
      </c>
      <c r="H32" s="169">
        <f>'Resumen (G)'!I43</f>
        <v>1328.1514745900001</v>
      </c>
      <c r="I32" s="170">
        <f t="shared" si="3"/>
        <v>7.8796012831546136E-2</v>
      </c>
      <c r="J32" s="20"/>
      <c r="K32" s="54"/>
      <c r="L32" s="54"/>
      <c r="M32" s="55" t="s">
        <v>14</v>
      </c>
      <c r="N32" s="70">
        <f t="shared" si="4"/>
        <v>148.46268099999998</v>
      </c>
      <c r="O32" s="70">
        <f t="shared" si="4"/>
        <v>173.6079341425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67" t="s">
        <v>5</v>
      </c>
      <c r="D33" s="168">
        <f>'Resumen (G)'!E44</f>
        <v>67.257610999999983</v>
      </c>
      <c r="E33" s="169">
        <f>'Resumen (G)'!F44</f>
        <v>70.43034175999999</v>
      </c>
      <c r="F33" s="170">
        <f t="shared" si="2"/>
        <v>4.7172813795006929E-2</v>
      </c>
      <c r="G33" s="247">
        <f>'Resumen (G)'!H44</f>
        <v>532.1866</v>
      </c>
      <c r="H33" s="169">
        <f>'Resumen (G)'!I44</f>
        <v>546.41236313499996</v>
      </c>
      <c r="I33" s="170">
        <f t="shared" si="3"/>
        <v>2.6730780397326681E-2</v>
      </c>
      <c r="J33" s="20"/>
      <c r="K33" s="54"/>
      <c r="L33" s="54"/>
      <c r="M33" s="55" t="s">
        <v>5</v>
      </c>
      <c r="N33" s="70">
        <f t="shared" si="4"/>
        <v>67.257610999999983</v>
      </c>
      <c r="O33" s="70">
        <f t="shared" si="4"/>
        <v>70.43034175999999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5" thickBot="1">
      <c r="C34" s="171" t="s">
        <v>4</v>
      </c>
      <c r="D34" s="172">
        <v>0.367030144</v>
      </c>
      <c r="E34" s="173">
        <v>0.27439837339760048</v>
      </c>
      <c r="F34" s="174">
        <f t="shared" si="2"/>
        <v>-0.25238191499170026</v>
      </c>
      <c r="G34" s="248">
        <v>3.3742854439999999</v>
      </c>
      <c r="H34" s="173">
        <v>2.0973983733976005</v>
      </c>
      <c r="I34" s="174">
        <f t="shared" si="3"/>
        <v>-0.37841702837348912</v>
      </c>
      <c r="J34" s="20"/>
      <c r="K34" s="54"/>
      <c r="L34" s="54"/>
      <c r="M34" s="97"/>
      <c r="N34" s="98">
        <f>SUM(N27:N33)</f>
        <v>4601.4312838763144</v>
      </c>
      <c r="O34" s="98">
        <f>SUM(O27:O33)</f>
        <v>4502.2382349187092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295" t="s">
        <v>106</v>
      </c>
      <c r="D35" s="296">
        <f>SUM(D28:D34)</f>
        <v>4601.4312838763144</v>
      </c>
      <c r="E35" s="297">
        <f>SUM(E28:E34)</f>
        <v>4502.2382349187092</v>
      </c>
      <c r="F35" s="298">
        <f t="shared" si="2"/>
        <v>-2.1556998863632604E-2</v>
      </c>
      <c r="G35" s="299">
        <f>SUM(G28:G34)</f>
        <v>42452.938163618375</v>
      </c>
      <c r="H35" s="297">
        <f>SUM(H28:H34)</f>
        <v>38438.741112780022</v>
      </c>
      <c r="I35" s="300">
        <f t="shared" si="3"/>
        <v>-9.455640114630437E-2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5"/>
      <c r="D36" s="175"/>
      <c r="E36" s="176"/>
      <c r="F36" s="177"/>
      <c r="G36" s="17"/>
      <c r="H36" s="17"/>
      <c r="I36" s="18"/>
      <c r="J36" s="20"/>
      <c r="K36" s="54"/>
      <c r="L36" s="54"/>
      <c r="M36" s="55"/>
      <c r="N36" s="98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21"/>
      <c r="N39" s="221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21">
        <f t="shared" ref="M40:N46" si="5">N27/N$34</f>
        <v>0.41382996505338221</v>
      </c>
      <c r="N40" s="221">
        <f t="shared" si="5"/>
        <v>0.42551764061337549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21">
        <f t="shared" si="5"/>
        <v>0.50397744091625873</v>
      </c>
      <c r="N41" s="221">
        <f t="shared" si="5"/>
        <v>0.49353004485943047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21">
        <f t="shared" si="5"/>
        <v>2.4584064033863789E-2</v>
      </c>
      <c r="N42" s="221">
        <f t="shared" si="5"/>
        <v>1.5362978251020251E-2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21">
        <f t="shared" si="5"/>
        <v>7.9764343169938271E-5</v>
      </c>
      <c r="N43" s="221">
        <f t="shared" si="5"/>
        <v>6.0947102103439653E-5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21">
        <f t="shared" si="5"/>
        <v>1.0647637001921371E-2</v>
      </c>
      <c r="N44" s="221">
        <f t="shared" si="5"/>
        <v>1.1324621365922239E-2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21">
        <f t="shared" si="5"/>
        <v>3.2264456826775166E-2</v>
      </c>
      <c r="N45" s="221">
        <f t="shared" si="5"/>
        <v>3.8560361554397973E-2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21">
        <f t="shared" si="5"/>
        <v>1.4616671824628698E-2</v>
      </c>
      <c r="N46" s="221">
        <f t="shared" si="5"/>
        <v>1.5643406253750065E-2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21">
        <f>N34/N$34</f>
        <v>1</v>
      </c>
      <c r="N47" s="221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5">
      <c r="B49" s="23" t="s">
        <v>100</v>
      </c>
      <c r="D49" s="26"/>
      <c r="E49" s="26"/>
      <c r="F49" s="26"/>
      <c r="G49" s="26"/>
      <c r="H49" s="26"/>
      <c r="I49" s="26"/>
      <c r="M49" s="222">
        <f>SUM(M39:M46)</f>
        <v>0.99999999999999989</v>
      </c>
      <c r="N49" s="222">
        <f>SUM(N39:N46)</f>
        <v>1.0000000000000002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118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5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98" t="s">
        <v>91</v>
      </c>
      <c r="D53" s="400" t="s">
        <v>126</v>
      </c>
      <c r="E53" s="400"/>
      <c r="F53" s="396" t="s">
        <v>74</v>
      </c>
      <c r="G53" s="394" t="s">
        <v>127</v>
      </c>
      <c r="H53" s="395"/>
      <c r="I53" s="396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99"/>
      <c r="D54" s="95">
        <v>2019</v>
      </c>
      <c r="E54" s="96">
        <v>2020</v>
      </c>
      <c r="F54" s="397"/>
      <c r="G54" s="232">
        <v>2019</v>
      </c>
      <c r="H54" s="96">
        <v>2020</v>
      </c>
      <c r="I54" s="397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2" t="s">
        <v>42</v>
      </c>
      <c r="D55" s="283">
        <f>SUM(D28:D30,D34)</f>
        <v>4336.7166218763141</v>
      </c>
      <c r="E55" s="284">
        <f>SUM(E28:E30,E34)</f>
        <v>4207.2138157065765</v>
      </c>
      <c r="F55" s="166">
        <f>+E55/D55-1</f>
        <v>-2.9861947980753034E-2</v>
      </c>
      <c r="G55" s="285">
        <f>SUM(G28:G30,G34)</f>
        <v>40292.706179178378</v>
      </c>
      <c r="H55" s="284">
        <f>SUM(H28:H30,H34)</f>
        <v>36203.924940425393</v>
      </c>
      <c r="I55" s="166">
        <f>+H55/G55-1</f>
        <v>-0.10147695765507803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75" thickBot="1">
      <c r="C56" s="286" t="s">
        <v>123</v>
      </c>
      <c r="D56" s="287">
        <f>SUM(D31:D33)</f>
        <v>264.71466199999998</v>
      </c>
      <c r="E56" s="288">
        <f>SUM(E31:E33)</f>
        <v>295.02441921213244</v>
      </c>
      <c r="F56" s="358">
        <f>+E56/D56-1</f>
        <v>0.11449972956969212</v>
      </c>
      <c r="G56" s="289">
        <f>SUM(G31:G33)</f>
        <v>2160.2319844399999</v>
      </c>
      <c r="H56" s="288">
        <f>SUM(H31:H33)</f>
        <v>2234.8161723546323</v>
      </c>
      <c r="I56" s="359">
        <f>+H56/G56-1</f>
        <v>3.4526008526795771E-2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2" t="s">
        <v>71</v>
      </c>
      <c r="D57" s="100">
        <f>SUM(D55:D56)</f>
        <v>4601.4312838763144</v>
      </c>
      <c r="E57" s="101">
        <f>SUM(E55:E56)</f>
        <v>4502.2382349187092</v>
      </c>
      <c r="F57" s="102">
        <f>+E57/D57-1</f>
        <v>-2.1556998863632604E-2</v>
      </c>
      <c r="G57" s="249">
        <f>SUM(G55:G56)</f>
        <v>42452.938163618375</v>
      </c>
      <c r="H57" s="101">
        <f>SUM(H55:H56)</f>
        <v>38438.741112780022</v>
      </c>
      <c r="I57" s="102">
        <f>+H57/G57-1</f>
        <v>-9.455640114630437E-2</v>
      </c>
      <c r="N57" s="74"/>
      <c r="O57" s="74"/>
      <c r="P57" s="74"/>
      <c r="Q57" s="74"/>
      <c r="R57" s="74"/>
      <c r="S57" s="74"/>
      <c r="T57" s="74"/>
      <c r="U57" s="74"/>
    </row>
    <row r="58" spans="2:28" ht="13.5" thickBot="1">
      <c r="C58" s="124" t="s">
        <v>8</v>
      </c>
      <c r="D58" s="103">
        <f>+D56/D57</f>
        <v>5.7528765653325237E-2</v>
      </c>
      <c r="E58" s="104">
        <f>+E56/E57</f>
        <v>6.5528389174070278E-2</v>
      </c>
      <c r="F58" s="105"/>
      <c r="G58" s="250">
        <f>+G56/G57</f>
        <v>5.0885335100110715E-2</v>
      </c>
      <c r="H58" s="104">
        <f>+H56/H57</f>
        <v>5.8139681676817608E-2</v>
      </c>
      <c r="I58" s="105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58" t="s">
        <v>124</v>
      </c>
      <c r="D59" s="122"/>
      <c r="E59" s="122"/>
      <c r="F59" s="123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5.5">
      <c r="L63" s="85" t="s">
        <v>57</v>
      </c>
      <c r="M63" s="76">
        <f>D55</f>
        <v>4336.7166218763141</v>
      </c>
      <c r="N63" s="76">
        <f>E55</f>
        <v>4207.2138157065765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8.25">
      <c r="B64" s="19"/>
      <c r="J64" s="20"/>
      <c r="K64" s="75"/>
      <c r="L64" s="85" t="s">
        <v>58</v>
      </c>
      <c r="M64" s="76">
        <f>D56</f>
        <v>264.71466199999998</v>
      </c>
      <c r="N64" s="76">
        <f>E56</f>
        <v>295.02441921213244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58" t="s">
        <v>124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5">
      <c r="B72" s="23" t="s">
        <v>113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5">
      <c r="B74" s="23"/>
      <c r="C74" s="10" t="s">
        <v>119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57"/>
      <c r="L75" s="57"/>
      <c r="M75" s="55"/>
      <c r="N75" s="55">
        <v>2019</v>
      </c>
      <c r="O75" s="55">
        <v>2020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10"/>
      <c r="D76" s="400" t="s">
        <v>126</v>
      </c>
      <c r="E76" s="400"/>
      <c r="F76" s="106" t="s">
        <v>74</v>
      </c>
      <c r="G76" s="394" t="s">
        <v>127</v>
      </c>
      <c r="H76" s="395"/>
      <c r="I76" s="219" t="s">
        <v>74</v>
      </c>
      <c r="J76" s="19"/>
      <c r="K76" s="57"/>
      <c r="L76" s="57"/>
      <c r="M76" s="55" t="s">
        <v>96</v>
      </c>
      <c r="N76" s="70">
        <f>D78</f>
        <v>0.47802976000000003</v>
      </c>
      <c r="O76" s="70">
        <f>E78</f>
        <v>2.4411593449999995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5" t="s">
        <v>95</v>
      </c>
      <c r="D77" s="126">
        <v>2019</v>
      </c>
      <c r="E77" s="224">
        <v>2020</v>
      </c>
      <c r="F77" s="107"/>
      <c r="G77" s="329">
        <v>2019</v>
      </c>
      <c r="H77" s="96">
        <v>2020</v>
      </c>
      <c r="I77" s="220"/>
      <c r="J77" s="19"/>
      <c r="K77" s="57"/>
      <c r="L77" s="57"/>
      <c r="M77" s="55" t="s">
        <v>97</v>
      </c>
      <c r="N77" s="70">
        <f>D79</f>
        <v>4395.2709705584566</v>
      </c>
      <c r="O77" s="70">
        <f>E79</f>
        <v>4312.2450863025833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09" t="s">
        <v>96</v>
      </c>
      <c r="D78" s="373">
        <v>0.47802976000000003</v>
      </c>
      <c r="E78" s="371">
        <v>2.4411593449999995</v>
      </c>
      <c r="F78" s="156">
        <f>((E78/D78)-1)</f>
        <v>4.1067099776382108</v>
      </c>
      <c r="G78" s="228">
        <v>184.7808776425</v>
      </c>
      <c r="H78" s="317">
        <v>25.715741342500007</v>
      </c>
      <c r="I78" s="156">
        <f>((H78/G78)-1)</f>
        <v>-0.86083115487603179</v>
      </c>
      <c r="J78" s="19"/>
      <c r="K78" s="253"/>
      <c r="L78" s="57"/>
    </row>
    <row r="79" spans="2:28" ht="16.5" customHeight="1" thickBot="1">
      <c r="C79" s="290" t="s">
        <v>97</v>
      </c>
      <c r="D79" s="158">
        <f>'Resumen (G)'!E40-D78</f>
        <v>4395.2709705584566</v>
      </c>
      <c r="E79" s="315">
        <f>'Resumen (G)'!F40-E78</f>
        <v>4312.2450863025833</v>
      </c>
      <c r="F79" s="159">
        <f>((E79/D79)-1)</f>
        <v>-1.8889821540473584E-2</v>
      </c>
      <c r="G79" s="229">
        <f>'Resumen (G)'!H40-G78</f>
        <v>40425.87254736809</v>
      </c>
      <c r="H79" s="315">
        <f>'Resumen (G)'!I40-H78</f>
        <v>36820.869345474101</v>
      </c>
      <c r="I79" s="159">
        <f>((H79/G79)-1)</f>
        <v>-8.9175643584932129E-2</v>
      </c>
      <c r="J79" s="19"/>
      <c r="K79" s="57"/>
      <c r="L79" s="57"/>
      <c r="M79" s="70"/>
      <c r="N79" s="70"/>
      <c r="O79" s="70"/>
    </row>
    <row r="80" spans="2:28" ht="14.25" thickTop="1" thickBot="1">
      <c r="C80" s="127" t="s">
        <v>94</v>
      </c>
      <c r="D80" s="223">
        <f>SUM(D78:D79)</f>
        <v>4395.7490003184566</v>
      </c>
      <c r="E80" s="316">
        <f>SUM(E78:E79)</f>
        <v>4314.6862456475837</v>
      </c>
      <c r="F80" s="128"/>
      <c r="G80" s="251">
        <f>SUM(G78:G79)</f>
        <v>40610.653425010591</v>
      </c>
      <c r="H80" s="316">
        <f>SUM(H78:H79)</f>
        <v>36846.585086816602</v>
      </c>
      <c r="I80" s="128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8"/>
  <sheetViews>
    <sheetView view="pageBreakPreview" zoomScale="80" zoomScaleNormal="100" zoomScaleSheetLayoutView="80" workbookViewId="0">
      <selection activeCell="C4" sqref="C4"/>
    </sheetView>
  </sheetViews>
  <sheetFormatPr baseColWidth="10" defaultColWidth="11.42578125" defaultRowHeight="12.75"/>
  <cols>
    <col min="1" max="1" width="5.42578125" customWidth="1"/>
    <col min="2" max="2" width="3.85546875" style="19" customWidth="1"/>
    <col min="3" max="3" width="27.85546875" style="20" customWidth="1"/>
    <col min="4" max="5" width="11.7109375" style="20" customWidth="1"/>
    <col min="6" max="6" width="9.7109375" style="20" customWidth="1"/>
    <col min="7" max="7" width="13" style="20" customWidth="1"/>
    <col min="8" max="8" width="13.140625" style="20" customWidth="1"/>
    <col min="9" max="9" width="9.5703125" style="20" customWidth="1"/>
    <col min="10" max="10" width="3.7109375" style="20" customWidth="1"/>
    <col min="11" max="11" width="9" customWidth="1"/>
    <col min="13" max="13" width="12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120</v>
      </c>
      <c r="D4" s="3"/>
      <c r="E4" s="23"/>
      <c r="F4" s="23"/>
      <c r="G4" s="23"/>
      <c r="H4" s="23"/>
      <c r="I4" s="23"/>
      <c r="J4" s="23"/>
    </row>
    <row r="6" spans="2:13">
      <c r="C6" s="10" t="s">
        <v>129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1" t="s">
        <v>44</v>
      </c>
      <c r="D8" s="408" t="s">
        <v>126</v>
      </c>
      <c r="E8" s="409"/>
      <c r="F8" s="396" t="s">
        <v>74</v>
      </c>
      <c r="G8" s="394" t="s">
        <v>127</v>
      </c>
      <c r="H8" s="395"/>
      <c r="I8" s="396" t="s">
        <v>74</v>
      </c>
      <c r="J8" s="26"/>
    </row>
    <row r="9" spans="2:13" s="1" customFormat="1" ht="13.5" customHeight="1">
      <c r="B9" s="19"/>
      <c r="C9" s="202"/>
      <c r="D9" s="110">
        <v>2019</v>
      </c>
      <c r="E9" s="96">
        <v>2020</v>
      </c>
      <c r="F9" s="397"/>
      <c r="G9" s="232">
        <v>2019</v>
      </c>
      <c r="H9" s="96">
        <v>2020</v>
      </c>
      <c r="I9" s="397"/>
      <c r="J9" s="26"/>
    </row>
    <row r="10" spans="2:13">
      <c r="C10" s="192" t="s">
        <v>10</v>
      </c>
      <c r="D10" s="193">
        <f>'Por Región (G)'!O8</f>
        <v>235.3304823933255</v>
      </c>
      <c r="E10" s="194">
        <f>'Por Región (G)'!P8</f>
        <v>287.50884388591618</v>
      </c>
      <c r="F10" s="360">
        <f>+E10/D10-1</f>
        <v>0.22172376889697221</v>
      </c>
      <c r="G10" s="325">
        <f>'Por Región (G)'!Q8</f>
        <v>2574.3233502519947</v>
      </c>
      <c r="H10" s="194">
        <f>'Por Región (G)'!R8</f>
        <v>2533.4651740186123</v>
      </c>
      <c r="I10" s="360">
        <f>+H10/G10-1</f>
        <v>-1.5871423544902785E-2</v>
      </c>
      <c r="J10" s="26"/>
      <c r="L10" s="144" t="s">
        <v>9</v>
      </c>
      <c r="M10" s="225">
        <f>E11</f>
        <v>3676.3825512105973</v>
      </c>
    </row>
    <row r="11" spans="2:13">
      <c r="C11" s="195" t="s">
        <v>9</v>
      </c>
      <c r="D11" s="196">
        <f>'Por Región (G)'!O9</f>
        <v>3800.9894672684959</v>
      </c>
      <c r="E11" s="197">
        <f>'Por Región (G)'!P9</f>
        <v>3676.3825512105973</v>
      </c>
      <c r="F11" s="361">
        <f>+E11/D11-1</f>
        <v>-3.2782757524304595E-2</v>
      </c>
      <c r="G11" s="326">
        <f>'Por Región (G)'!Q9</f>
        <v>34181.194809406712</v>
      </c>
      <c r="H11" s="197">
        <f>'Por Región (G)'!R9</f>
        <v>30465.657662484762</v>
      </c>
      <c r="I11" s="361">
        <f>+H11/G11-1</f>
        <v>-0.10870120742237566</v>
      </c>
      <c r="J11" s="26"/>
      <c r="L11" s="144" t="s">
        <v>12</v>
      </c>
      <c r="M11" s="225">
        <f>E12</f>
        <v>496.4176354568263</v>
      </c>
    </row>
    <row r="12" spans="2:13">
      <c r="C12" s="195" t="s">
        <v>12</v>
      </c>
      <c r="D12" s="196">
        <f>'Por Región (G)'!O10</f>
        <v>485.56936048115978</v>
      </c>
      <c r="E12" s="197">
        <f>'Por Región (G)'!P10</f>
        <v>496.4176354568263</v>
      </c>
      <c r="F12" s="361">
        <f>+E12/D12-1</f>
        <v>2.2341349884425821E-2</v>
      </c>
      <c r="G12" s="326">
        <f>'Por Región (G)'!Q10</f>
        <v>5074.7351733596624</v>
      </c>
      <c r="H12" s="197">
        <f>'Por Región (G)'!R10</f>
        <v>5033.989674300411</v>
      </c>
      <c r="I12" s="361">
        <f>+H12/G12-1</f>
        <v>-8.0290887440095382E-3</v>
      </c>
      <c r="J12" s="26"/>
      <c r="L12" s="144" t="s">
        <v>10</v>
      </c>
      <c r="M12" s="225">
        <f>E10</f>
        <v>287.50884388591618</v>
      </c>
    </row>
    <row r="13" spans="2:13">
      <c r="C13" s="198" t="s">
        <v>11</v>
      </c>
      <c r="D13" s="199">
        <f>'Por Región (G)'!O11</f>
        <v>79.541973733333307</v>
      </c>
      <c r="E13" s="200">
        <f>'Por Región (G)'!P11</f>
        <v>41.929204365369799</v>
      </c>
      <c r="F13" s="362">
        <f>+E13/D13-1</f>
        <v>-0.47286693556362291</v>
      </c>
      <c r="G13" s="327">
        <f>'Por Región (G)'!Q11</f>
        <v>622.68483059999983</v>
      </c>
      <c r="H13" s="200">
        <f>'Por Región (G)'!R11</f>
        <v>405.62860197622501</v>
      </c>
      <c r="I13" s="362">
        <f>+H13/G13-1</f>
        <v>-0.34858120506103574</v>
      </c>
      <c r="J13" s="26"/>
      <c r="L13" s="144" t="s">
        <v>11</v>
      </c>
      <c r="M13" s="225">
        <f>E13</f>
        <v>41.929204365369799</v>
      </c>
    </row>
    <row r="14" spans="2:13" ht="13.5" thickBot="1">
      <c r="C14" s="203" t="s">
        <v>106</v>
      </c>
      <c r="D14" s="204">
        <f>SUM(D10:D13)</f>
        <v>4601.4312838763144</v>
      </c>
      <c r="E14" s="205">
        <f>SUM(E10:E13)</f>
        <v>4502.2382349187092</v>
      </c>
      <c r="F14" s="206">
        <f>+E14/D14-1</f>
        <v>-2.1556998863632604E-2</v>
      </c>
      <c r="G14" s="328">
        <f>SUM(G10:G13)</f>
        <v>42452.938163618368</v>
      </c>
      <c r="H14" s="205">
        <f>SUM(H10:H13)</f>
        <v>38438.741112780015</v>
      </c>
      <c r="I14" s="206">
        <f>+H14/G14-1</f>
        <v>-9.455640114630437E-2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405" t="s">
        <v>93</v>
      </c>
      <c r="D18" s="405"/>
      <c r="E18" s="405"/>
      <c r="F18" s="405"/>
      <c r="G18" s="406" t="s">
        <v>105</v>
      </c>
      <c r="H18" s="407"/>
      <c r="I18" s="407"/>
      <c r="J18" s="407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21" t="s">
        <v>12</v>
      </c>
      <c r="R44" s="30" t="s">
        <v>38</v>
      </c>
    </row>
    <row r="45" spans="3:26" ht="13.5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5" thickBot="1">
      <c r="C53" s="207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401" t="s">
        <v>13</v>
      </c>
      <c r="D54" s="403" t="s">
        <v>131</v>
      </c>
      <c r="E54" s="404"/>
      <c r="F54" s="404"/>
      <c r="G54" s="404"/>
      <c r="H54" s="404"/>
      <c r="I54" s="19"/>
      <c r="J54" s="19"/>
    </row>
    <row r="55" spans="3:13">
      <c r="C55" s="402"/>
      <c r="D55" s="113" t="s">
        <v>14</v>
      </c>
      <c r="E55" s="333" t="s">
        <v>15</v>
      </c>
      <c r="F55" s="333" t="s">
        <v>5</v>
      </c>
      <c r="G55" s="114" t="s">
        <v>16</v>
      </c>
      <c r="H55" s="344" t="s">
        <v>71</v>
      </c>
      <c r="I55" s="19"/>
      <c r="J55" s="19"/>
    </row>
    <row r="56" spans="3:13">
      <c r="C56" s="208" t="s">
        <v>10</v>
      </c>
      <c r="D56" s="322">
        <f>'Resumen (G)'!F14-'PorZona (G)'!D58</f>
        <v>95.169237059999972</v>
      </c>
      <c r="E56" s="334">
        <v>82.271198142884799</v>
      </c>
      <c r="F56" s="334">
        <v>0</v>
      </c>
      <c r="G56" s="212">
        <v>110.06840868303141</v>
      </c>
      <c r="H56" s="345">
        <f>SUM(D56:G56)</f>
        <v>287.50884388591618</v>
      </c>
      <c r="I56" s="319"/>
      <c r="K56" s="301"/>
      <c r="L56" s="314"/>
      <c r="M56" s="352"/>
    </row>
    <row r="57" spans="3:13">
      <c r="C57" s="209" t="s">
        <v>9</v>
      </c>
      <c r="D57" s="323">
        <v>0</v>
      </c>
      <c r="E57" s="412">
        <v>1551.0006917418809</v>
      </c>
      <c r="F57" s="335">
        <v>0</v>
      </c>
      <c r="G57" s="213">
        <v>2125.3818594687164</v>
      </c>
      <c r="H57" s="346">
        <f>SUM(D57:G57)</f>
        <v>3676.3825512105973</v>
      </c>
      <c r="I57" s="319"/>
      <c r="K57" s="301"/>
      <c r="L57" s="314"/>
      <c r="M57" s="352"/>
    </row>
    <row r="58" spans="3:13">
      <c r="C58" s="209" t="s">
        <v>12</v>
      </c>
      <c r="D58" s="323">
        <v>78.438697082500028</v>
      </c>
      <c r="E58" s="335">
        <v>282.5099013171714</v>
      </c>
      <c r="F58" s="335">
        <f>'Resumen (G)'!D15-F57</f>
        <v>70.43034175999999</v>
      </c>
      <c r="G58" s="213">
        <v>65.038695297154902</v>
      </c>
      <c r="H58" s="346">
        <f>SUM(D58:G58)</f>
        <v>496.4176354568263</v>
      </c>
      <c r="I58" s="319"/>
      <c r="K58" s="301"/>
      <c r="L58" s="314"/>
      <c r="M58" s="352"/>
    </row>
    <row r="59" spans="3:13">
      <c r="C59" s="210" t="s">
        <v>11</v>
      </c>
      <c r="D59" s="324">
        <v>0</v>
      </c>
      <c r="E59" s="336">
        <v>0</v>
      </c>
      <c r="F59" s="336">
        <v>0</v>
      </c>
      <c r="G59" s="214">
        <f>E13</f>
        <v>41.929204365369799</v>
      </c>
      <c r="H59" s="347">
        <f>SUM(D59:G59)</f>
        <v>41.929204365369799</v>
      </c>
      <c r="I59" s="319"/>
      <c r="K59" s="19"/>
      <c r="L59" s="314"/>
      <c r="M59" s="314"/>
    </row>
    <row r="60" spans="3:13" ht="13.5" thickBot="1">
      <c r="C60" s="115" t="s">
        <v>106</v>
      </c>
      <c r="D60" s="215">
        <f>SUM(D56:D59)</f>
        <v>173.6079341425</v>
      </c>
      <c r="E60" s="337">
        <f>SUM(E56:E59)</f>
        <v>1915.781791201937</v>
      </c>
      <c r="F60" s="337">
        <f>SUM(F56:F59)</f>
        <v>70.43034175999999</v>
      </c>
      <c r="G60" s="216">
        <f>SUM(G56:G59)</f>
        <v>2342.4181678142727</v>
      </c>
      <c r="H60" s="348">
        <f>SUM(H56:H59)</f>
        <v>4502.2382349187092</v>
      </c>
      <c r="I60" s="19"/>
      <c r="J60" s="19"/>
      <c r="M60" s="314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301"/>
      <c r="G63" s="19"/>
      <c r="H63" s="19"/>
      <c r="I63" s="19"/>
      <c r="J63" s="19"/>
    </row>
    <row r="64" spans="3:13">
      <c r="F64" s="301"/>
      <c r="H64" s="121"/>
    </row>
    <row r="65" spans="5:6">
      <c r="F65" s="301"/>
    </row>
    <row r="67" spans="5:6">
      <c r="E67" s="320"/>
    </row>
    <row r="68" spans="5:6">
      <c r="E68" s="121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zoomScale="70" zoomScaleNormal="100" zoomScaleSheetLayoutView="70" workbookViewId="0">
      <selection activeCell="C2" sqref="C2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5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5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5" thickBot="1">
      <c r="C5"/>
      <c r="D5"/>
      <c r="E5"/>
      <c r="F5"/>
      <c r="G5"/>
    </row>
    <row r="6" spans="3:19" ht="12.75" customHeight="1">
      <c r="C6" s="108" t="s">
        <v>60</v>
      </c>
      <c r="D6" s="408" t="s">
        <v>126</v>
      </c>
      <c r="E6" s="409"/>
      <c r="F6" s="396" t="s">
        <v>74</v>
      </c>
      <c r="G6" s="394" t="s">
        <v>127</v>
      </c>
      <c r="H6" s="395"/>
      <c r="I6" s="396" t="s">
        <v>74</v>
      </c>
      <c r="O6" s="47"/>
      <c r="P6" s="86"/>
      <c r="Q6" s="410" t="s">
        <v>114</v>
      </c>
      <c r="R6" s="410"/>
    </row>
    <row r="7" spans="3:19" ht="12.75" customHeight="1">
      <c r="C7" s="109"/>
      <c r="D7" s="110">
        <v>2019</v>
      </c>
      <c r="E7" s="96">
        <v>2020</v>
      </c>
      <c r="F7" s="397"/>
      <c r="G7" s="232">
        <v>2019</v>
      </c>
      <c r="H7" s="96">
        <v>2020</v>
      </c>
      <c r="I7" s="397"/>
      <c r="N7" s="54"/>
      <c r="O7" s="311">
        <v>2019</v>
      </c>
      <c r="P7" s="313">
        <v>2020</v>
      </c>
      <c r="Q7" s="54">
        <v>2019</v>
      </c>
      <c r="R7" s="54">
        <v>2020</v>
      </c>
    </row>
    <row r="8" spans="3:19" ht="20.100000000000001" customHeight="1">
      <c r="C8" s="117" t="s">
        <v>17</v>
      </c>
      <c r="D8" s="217">
        <v>3.6360479999999997</v>
      </c>
      <c r="E8" s="278">
        <v>3.3578636747570916</v>
      </c>
      <c r="F8" s="363">
        <f>+E8/D8-1</f>
        <v>-7.6507330278067887E-2</v>
      </c>
      <c r="G8" s="233">
        <v>43.381686000000002</v>
      </c>
      <c r="H8" s="278">
        <v>28.145416317522962</v>
      </c>
      <c r="I8" s="363">
        <f>+H8/G8-1</f>
        <v>-0.35121432768834848</v>
      </c>
      <c r="J8" s="26"/>
      <c r="K8" s="46"/>
      <c r="L8" s="46"/>
      <c r="N8" s="57" t="s">
        <v>10</v>
      </c>
      <c r="O8" s="71">
        <f>SUM(D8,D13,D20,D21,D27,D29,D31)</f>
        <v>235.3304823933255</v>
      </c>
      <c r="P8" s="71">
        <f t="shared" ref="P8" si="0">SUM(E8,E13,E20,E21,E27,E29,E31)</f>
        <v>287.50884388591618</v>
      </c>
      <c r="Q8" s="71">
        <f>SUM(G8,G13,G20,G21,G27,G29,G31)</f>
        <v>2574.3233502519947</v>
      </c>
      <c r="R8" s="71">
        <f>SUM(H8,H13,H20,H21,H27,H29,H31)</f>
        <v>2533.4651740186123</v>
      </c>
    </row>
    <row r="9" spans="3:19" ht="20.100000000000001" customHeight="1">
      <c r="C9" s="118" t="s">
        <v>18</v>
      </c>
      <c r="D9" s="218">
        <v>107.62446369999999</v>
      </c>
      <c r="E9" s="279">
        <v>99.014880504738016</v>
      </c>
      <c r="F9" s="364">
        <f t="shared" ref="F9:F32" si="1">+E9/D9-1</f>
        <v>-7.9996525875947078E-2</v>
      </c>
      <c r="G9" s="234">
        <v>1671.9248112999999</v>
      </c>
      <c r="H9" s="279">
        <v>1648.4830361990287</v>
      </c>
      <c r="I9" s="366">
        <f t="shared" ref="I9:I32" si="2">+H9/G9-1</f>
        <v>-1.4020830926448236E-2</v>
      </c>
      <c r="J9" s="26"/>
      <c r="K9" s="46"/>
      <c r="L9" s="46"/>
      <c r="N9" s="57" t="s">
        <v>9</v>
      </c>
      <c r="O9" s="311">
        <f>SUM(D9,D14,D16,D17,D19,D22,D26,D32)</f>
        <v>3800.9894672684959</v>
      </c>
      <c r="P9" s="311">
        <f>SUM(E9,E14,E16,E17,E19,E22,E26,E32)</f>
        <v>3676.3825512105973</v>
      </c>
      <c r="Q9" s="311">
        <f>SUM(G9,G14,G16,G17,G19,G22,G26,G32)</f>
        <v>34181.194809406712</v>
      </c>
      <c r="R9" s="311">
        <f>SUM(H9,H14,H16,H17,H19,H22,H26,H32)</f>
        <v>30465.657662484762</v>
      </c>
    </row>
    <row r="10" spans="3:19" ht="20.100000000000001" customHeight="1">
      <c r="C10" s="119" t="s">
        <v>19</v>
      </c>
      <c r="D10" s="218">
        <v>2.2374449447601967</v>
      </c>
      <c r="E10" s="279">
        <v>2.837164026729575</v>
      </c>
      <c r="F10" s="364">
        <f t="shared" si="1"/>
        <v>0.26803746987108745</v>
      </c>
      <c r="G10" s="234">
        <v>33.118577556862242</v>
      </c>
      <c r="H10" s="279">
        <v>36.736916201879147</v>
      </c>
      <c r="I10" s="364">
        <f t="shared" si="2"/>
        <v>0.10925404748451162</v>
      </c>
      <c r="J10" s="26"/>
      <c r="K10" s="46"/>
      <c r="L10" s="46"/>
      <c r="N10" s="54" t="s">
        <v>12</v>
      </c>
      <c r="O10" s="311">
        <f>SUM(D10,D11,D12,D15,D18,D24,D25,D28,D30)</f>
        <v>485.56936048115978</v>
      </c>
      <c r="P10" s="311">
        <f t="shared" ref="P10" si="3">SUM(E10,E11,E12,E15,E18,E24,E25,E28,E30)</f>
        <v>496.4176354568263</v>
      </c>
      <c r="Q10" s="311">
        <f>SUM(G10,G11,G12,G15,G18,G24,G25,G28,G30)</f>
        <v>5074.7351733596624</v>
      </c>
      <c r="R10" s="311">
        <f>SUM(H10,H11,H12,H15,H18,H24,H25,H28,H30)</f>
        <v>5033.989674300411</v>
      </c>
    </row>
    <row r="11" spans="3:19" ht="20.100000000000001" customHeight="1">
      <c r="C11" s="118" t="s">
        <v>20</v>
      </c>
      <c r="D11" s="331">
        <v>90.734607613467318</v>
      </c>
      <c r="E11" s="306">
        <v>93.158002549425063</v>
      </c>
      <c r="F11" s="366">
        <f t="shared" si="1"/>
        <v>2.6708606558166759E-2</v>
      </c>
      <c r="G11" s="234">
        <v>901.78989523332848</v>
      </c>
      <c r="H11" s="279">
        <v>956.73797629841579</v>
      </c>
      <c r="I11" s="364">
        <f t="shared" si="2"/>
        <v>6.0932243037465028E-2</v>
      </c>
      <c r="J11" s="26"/>
      <c r="K11" s="46"/>
      <c r="L11" s="46"/>
      <c r="N11" s="312" t="s">
        <v>11</v>
      </c>
      <c r="O11" s="71">
        <f>D23</f>
        <v>79.541973733333307</v>
      </c>
      <c r="P11" s="71">
        <f t="shared" ref="P11" si="4">E23</f>
        <v>41.929204365369799</v>
      </c>
      <c r="Q11" s="71">
        <f>G23</f>
        <v>622.68483059999983</v>
      </c>
      <c r="R11" s="71">
        <f>H23</f>
        <v>405.62860197622501</v>
      </c>
    </row>
    <row r="12" spans="3:19" ht="20.100000000000001" customHeight="1">
      <c r="C12" s="118" t="s">
        <v>21</v>
      </c>
      <c r="D12" s="350">
        <v>0.90785396626565784</v>
      </c>
      <c r="E12" s="349">
        <v>0.96786369150492546</v>
      </c>
      <c r="F12" s="364">
        <f t="shared" si="1"/>
        <v>6.6100636742393748E-2</v>
      </c>
      <c r="G12" s="234">
        <v>6.8288755644711019</v>
      </c>
      <c r="H12" s="279">
        <v>8.5293694251171193</v>
      </c>
      <c r="I12" s="364">
        <f t="shared" si="2"/>
        <v>0.24901520676306554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8" t="s">
        <v>22</v>
      </c>
      <c r="D13" s="218">
        <v>33.474454994729896</v>
      </c>
      <c r="E13" s="279">
        <v>37.305845858607391</v>
      </c>
      <c r="F13" s="364">
        <f t="shared" si="1"/>
        <v>0.114457154402684</v>
      </c>
      <c r="G13" s="234">
        <v>841.76553821514869</v>
      </c>
      <c r="H13" s="279">
        <v>833.62498805034738</v>
      </c>
      <c r="I13" s="364">
        <f t="shared" si="2"/>
        <v>-9.6708047493394567E-3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8" t="s">
        <v>59</v>
      </c>
      <c r="D14" s="218">
        <v>332.2953194653108</v>
      </c>
      <c r="E14" s="279">
        <v>338.30926127531075</v>
      </c>
      <c r="F14" s="364">
        <f t="shared" si="1"/>
        <v>1.8098183927708789E-2</v>
      </c>
      <c r="G14" s="234">
        <v>2515.825884585297</v>
      </c>
      <c r="H14" s="279">
        <v>1813.6677247027972</v>
      </c>
      <c r="I14" s="364">
        <f t="shared" si="2"/>
        <v>-0.27909648445255664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8" t="s">
        <v>23</v>
      </c>
      <c r="D15" s="218">
        <v>117.71704606666665</v>
      </c>
      <c r="E15" s="279">
        <v>137.10902628750003</v>
      </c>
      <c r="F15" s="364">
        <f t="shared" si="1"/>
        <v>0.16473383310902245</v>
      </c>
      <c r="G15" s="234">
        <v>1547.4031585999999</v>
      </c>
      <c r="H15" s="279">
        <v>1432.0269972083333</v>
      </c>
      <c r="I15" s="366">
        <f t="shared" si="2"/>
        <v>-7.4561151533419467E-2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8" t="s">
        <v>24</v>
      </c>
      <c r="D16" s="218">
        <v>752.34503908361785</v>
      </c>
      <c r="E16" s="279">
        <v>752.03079293364272</v>
      </c>
      <c r="F16" s="411">
        <f t="shared" si="1"/>
        <v>-4.1768887099713492E-4</v>
      </c>
      <c r="G16" s="234">
        <v>7703.2636851663592</v>
      </c>
      <c r="H16" s="279">
        <v>7825.8988957385509</v>
      </c>
      <c r="I16" s="365">
        <f t="shared" si="2"/>
        <v>1.5919902989734336E-2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8" t="s">
        <v>25</v>
      </c>
      <c r="D17" s="218">
        <v>59.163123133333329</v>
      </c>
      <c r="E17" s="279">
        <v>60.318604442666675</v>
      </c>
      <c r="F17" s="364">
        <f t="shared" si="1"/>
        <v>1.953043125747933E-2</v>
      </c>
      <c r="G17" s="234">
        <v>1830.1386432000002</v>
      </c>
      <c r="H17" s="279">
        <v>1770.2359536023339</v>
      </c>
      <c r="I17" s="366">
        <f t="shared" si="2"/>
        <v>-3.273123040171777E-2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8" t="s">
        <v>26</v>
      </c>
      <c r="D18" s="218">
        <v>135.34757606666665</v>
      </c>
      <c r="E18" s="279">
        <v>115.92530249500003</v>
      </c>
      <c r="F18" s="364">
        <f t="shared" si="1"/>
        <v>-0.14349923460838343</v>
      </c>
      <c r="G18" s="234">
        <v>1267.6388916000003</v>
      </c>
      <c r="H18" s="279">
        <v>1173.7857470358333</v>
      </c>
      <c r="I18" s="364">
        <f t="shared" si="2"/>
        <v>-7.4037760426951316E-2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8" t="s">
        <v>27</v>
      </c>
      <c r="D19" s="218">
        <v>151.86024646666667</v>
      </c>
      <c r="E19" s="279">
        <v>158.17610113916663</v>
      </c>
      <c r="F19" s="364">
        <f t="shared" si="1"/>
        <v>4.1589914539525541E-2</v>
      </c>
      <c r="G19" s="234">
        <v>2152.3850261999996</v>
      </c>
      <c r="H19" s="279">
        <v>2196.9630378050001</v>
      </c>
      <c r="I19" s="366">
        <f t="shared" si="2"/>
        <v>2.0710983891066181E-2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8" t="s">
        <v>28</v>
      </c>
      <c r="D20" s="218">
        <v>66.809679183590276</v>
      </c>
      <c r="E20" s="279">
        <v>114.42670418825186</v>
      </c>
      <c r="F20" s="366">
        <f t="shared" si="1"/>
        <v>0.71272644303248245</v>
      </c>
      <c r="G20" s="234">
        <v>532.57572635179781</v>
      </c>
      <c r="H20" s="279">
        <v>613.21622034097368</v>
      </c>
      <c r="I20" s="364">
        <f t="shared" si="2"/>
        <v>0.15141601466062315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8" t="s">
        <v>29</v>
      </c>
      <c r="D21" s="331">
        <v>4.6364382666666675</v>
      </c>
      <c r="E21" s="306">
        <v>5.003214221666668</v>
      </c>
      <c r="F21" s="364">
        <f t="shared" si="1"/>
        <v>7.9107265945264293E-2</v>
      </c>
      <c r="G21" s="234">
        <v>45.704730150000003</v>
      </c>
      <c r="H21" s="279">
        <v>44.389520977500013</v>
      </c>
      <c r="I21" s="364">
        <f t="shared" si="2"/>
        <v>-2.8776215682349671E-2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8" t="s">
        <v>30</v>
      </c>
      <c r="D22" s="218">
        <v>2296.6008860862335</v>
      </c>
      <c r="E22" s="279">
        <v>2214.5830253575732</v>
      </c>
      <c r="F22" s="364">
        <f t="shared" si="1"/>
        <v>-3.5712718402905241E-2</v>
      </c>
      <c r="G22" s="234">
        <v>17313.279478613684</v>
      </c>
      <c r="H22" s="279">
        <v>14468.832617555387</v>
      </c>
      <c r="I22" s="364">
        <f t="shared" si="2"/>
        <v>-0.16429278257605173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8" t="s">
        <v>31</v>
      </c>
      <c r="D23" s="218">
        <v>79.541973733333307</v>
      </c>
      <c r="E23" s="279">
        <v>41.929204365369799</v>
      </c>
      <c r="F23" s="364">
        <f t="shared" si="1"/>
        <v>-0.47286693556362291</v>
      </c>
      <c r="G23" s="234">
        <v>622.68483059999983</v>
      </c>
      <c r="H23" s="279">
        <v>405.62860197622501</v>
      </c>
      <c r="I23" s="364">
        <f t="shared" si="2"/>
        <v>-0.34858120506103574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8" t="s">
        <v>32</v>
      </c>
      <c r="D24" s="350">
        <v>0.13159800000000002</v>
      </c>
      <c r="E24" s="349">
        <v>0.20011608833333336</v>
      </c>
      <c r="F24" s="364">
        <f t="shared" si="1"/>
        <v>0.52066207946422693</v>
      </c>
      <c r="G24" s="234">
        <v>1.2921250000000002</v>
      </c>
      <c r="H24" s="279">
        <v>5.052323915833334</v>
      </c>
      <c r="I24" s="366">
        <f t="shared" si="2"/>
        <v>2.9100891290187354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8" t="s">
        <v>33</v>
      </c>
      <c r="D25" s="218">
        <v>65.048396333333329</v>
      </c>
      <c r="E25" s="279">
        <v>63.154625975833312</v>
      </c>
      <c r="F25" s="366">
        <f t="shared" si="1"/>
        <v>-2.9113252043841298E-2</v>
      </c>
      <c r="G25" s="234">
        <v>494.33659899999992</v>
      </c>
      <c r="H25" s="279">
        <v>485.98895213500003</v>
      </c>
      <c r="I25" s="364">
        <f t="shared" si="2"/>
        <v>-1.6886564502580748E-2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8" t="s">
        <v>34</v>
      </c>
      <c r="D26" s="218">
        <v>49.020448000000002</v>
      </c>
      <c r="E26" s="279">
        <v>44.699639613333339</v>
      </c>
      <c r="F26" s="364">
        <f t="shared" si="1"/>
        <v>-8.8142980387830416E-2</v>
      </c>
      <c r="G26" s="234">
        <v>722.06759534137495</v>
      </c>
      <c r="H26" s="279">
        <v>704.63125327333341</v>
      </c>
      <c r="I26" s="364">
        <f t="shared" si="2"/>
        <v>-2.4147797492280576E-2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8" t="s">
        <v>35</v>
      </c>
      <c r="D27" s="218">
        <v>123.79956194833865</v>
      </c>
      <c r="E27" s="279">
        <v>124.10108894263315</v>
      </c>
      <c r="F27" s="365">
        <f t="shared" si="1"/>
        <v>2.4356063103061487E-3</v>
      </c>
      <c r="G27" s="234">
        <v>1063.4929685350482</v>
      </c>
      <c r="H27" s="279">
        <v>969.54442933226846</v>
      </c>
      <c r="I27" s="364">
        <f t="shared" si="2"/>
        <v>-8.8339596012743771E-2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8" t="s">
        <v>36</v>
      </c>
      <c r="D28" s="218">
        <v>60.96214749</v>
      </c>
      <c r="E28" s="279">
        <v>70.755848907500024</v>
      </c>
      <c r="F28" s="364">
        <f t="shared" si="1"/>
        <v>0.16065217222058248</v>
      </c>
      <c r="G28" s="234">
        <v>709.99661880500014</v>
      </c>
      <c r="H28" s="279">
        <v>819.13557888499997</v>
      </c>
      <c r="I28" s="364">
        <f t="shared" si="2"/>
        <v>0.1537175772240893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8" t="s">
        <v>37</v>
      </c>
      <c r="D29" s="218">
        <v>1.8737520000000001</v>
      </c>
      <c r="E29" s="279">
        <v>2.2135790000000002</v>
      </c>
      <c r="F29" s="364">
        <f t="shared" si="1"/>
        <v>0.1813617810681456</v>
      </c>
      <c r="G29" s="234">
        <v>37.270887000000002</v>
      </c>
      <c r="H29" s="279">
        <v>34.639667000000003</v>
      </c>
      <c r="I29" s="366">
        <f t="shared" si="2"/>
        <v>-7.059719292433253E-2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8" t="s">
        <v>38</v>
      </c>
      <c r="D30" s="218">
        <v>12.48269</v>
      </c>
      <c r="E30" s="279">
        <v>12.309685434999997</v>
      </c>
      <c r="F30" s="364">
        <f t="shared" si="1"/>
        <v>-1.3859557915802068E-2</v>
      </c>
      <c r="G30" s="234">
        <v>112.330432</v>
      </c>
      <c r="H30" s="279">
        <v>115.995813195</v>
      </c>
      <c r="I30" s="364">
        <f t="shared" si="2"/>
        <v>3.2630348960110744E-2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8" t="s">
        <v>39</v>
      </c>
      <c r="D31" s="218">
        <v>1.1005480000000003</v>
      </c>
      <c r="E31" s="279">
        <v>1.1005480000000003</v>
      </c>
      <c r="F31" s="366">
        <f>+E31/D31-1</f>
        <v>0</v>
      </c>
      <c r="G31" s="330">
        <v>10.131814000000004</v>
      </c>
      <c r="H31" s="306">
        <v>9.9049320000000041</v>
      </c>
      <c r="I31" s="364">
        <f t="shared" si="2"/>
        <v>-2.2393028533686077E-2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0" t="s">
        <v>40</v>
      </c>
      <c r="D32" s="211">
        <v>52.079941333333331</v>
      </c>
      <c r="E32" s="280">
        <v>9.2502459441666662</v>
      </c>
      <c r="F32" s="367">
        <f t="shared" si="1"/>
        <v>-0.82238371036247448</v>
      </c>
      <c r="G32" s="235">
        <v>272.309685</v>
      </c>
      <c r="H32" s="280">
        <v>36.945143608333339</v>
      </c>
      <c r="I32" s="367">
        <f t="shared" si="2"/>
        <v>-0.86432673664055193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18" t="s">
        <v>106</v>
      </c>
      <c r="D33" s="111">
        <f>SUM(D8:D32)</f>
        <v>4601.4312838763144</v>
      </c>
      <c r="E33" s="281">
        <f>SUM(E8:E32)</f>
        <v>4502.238234918711</v>
      </c>
      <c r="F33" s="116">
        <f>+E33/D33-1</f>
        <v>-2.155699886363216E-2</v>
      </c>
      <c r="G33" s="236">
        <f>SUM(G8:G32)</f>
        <v>42452.938163618383</v>
      </c>
      <c r="H33" s="281">
        <f>SUM(H8:H32)</f>
        <v>38438.741112780008</v>
      </c>
      <c r="I33" s="237">
        <f>+H33/G33-1</f>
        <v>-9.4556401146304814E-2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32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2214.5830253575732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752.03079293364272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59</v>
      </c>
      <c r="O46" s="53">
        <v>338.30926127531075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27</v>
      </c>
      <c r="O47" s="52">
        <v>158.17610113916663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23</v>
      </c>
      <c r="O48" s="53">
        <v>137.10902628750003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35</v>
      </c>
      <c r="O49" s="53">
        <v>124.10108894263315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26</v>
      </c>
      <c r="O50" s="52">
        <v>115.92530249500003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28</v>
      </c>
      <c r="O51" s="53">
        <v>114.42670418825186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18</v>
      </c>
      <c r="O52" s="53">
        <v>99.014880504738016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20</v>
      </c>
      <c r="O53" s="53">
        <v>93.158002549425063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36</v>
      </c>
      <c r="O54" s="53">
        <v>70.755848907500024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33</v>
      </c>
      <c r="O55" s="52">
        <v>63.154625975833312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25</v>
      </c>
      <c r="O56" s="53">
        <v>60.318604442666675</v>
      </c>
      <c r="P56" s="8"/>
      <c r="S56" s="91"/>
    </row>
    <row r="57" spans="3:19">
      <c r="N57" s="51" t="s">
        <v>34</v>
      </c>
      <c r="O57" s="52">
        <v>44.699639613333339</v>
      </c>
      <c r="S57" s="91"/>
    </row>
    <row r="58" spans="3:19">
      <c r="N58" s="51" t="s">
        <v>31</v>
      </c>
      <c r="O58" s="52">
        <v>41.929204365369799</v>
      </c>
      <c r="S58" s="91"/>
    </row>
    <row r="59" spans="3:19">
      <c r="N59" s="51" t="s">
        <v>22</v>
      </c>
      <c r="O59" s="52">
        <v>37.305845858607391</v>
      </c>
      <c r="S59" s="91"/>
    </row>
    <row r="60" spans="3:19">
      <c r="N60" s="51" t="s">
        <v>38</v>
      </c>
      <c r="O60" s="52">
        <v>12.309685434999997</v>
      </c>
      <c r="S60" s="91"/>
    </row>
    <row r="61" spans="3:19">
      <c r="N61" s="51" t="s">
        <v>40</v>
      </c>
      <c r="O61" s="52">
        <v>9.2502459441666662</v>
      </c>
      <c r="S61" s="91"/>
    </row>
    <row r="62" spans="3:19">
      <c r="N62" s="51" t="s">
        <v>29</v>
      </c>
      <c r="O62" s="52">
        <v>5.003214221666668</v>
      </c>
      <c r="S62" s="91"/>
    </row>
    <row r="63" spans="3:19">
      <c r="N63" s="50" t="s">
        <v>17</v>
      </c>
      <c r="O63" s="53">
        <v>3.3578636747570916</v>
      </c>
      <c r="S63" s="91"/>
    </row>
    <row r="64" spans="3:19">
      <c r="N64" s="50" t="s">
        <v>19</v>
      </c>
      <c r="O64" s="53">
        <v>2.837164026729575</v>
      </c>
      <c r="S64" s="91"/>
    </row>
    <row r="65" spans="6:19">
      <c r="N65" s="50" t="s">
        <v>37</v>
      </c>
      <c r="O65" s="53">
        <v>2.2135790000000002</v>
      </c>
      <c r="S65" s="91"/>
    </row>
    <row r="66" spans="6:19">
      <c r="N66" s="50" t="s">
        <v>39</v>
      </c>
      <c r="O66" s="53">
        <v>1.1005480000000003</v>
      </c>
      <c r="S66" s="91"/>
    </row>
    <row r="67" spans="6:19">
      <c r="N67" s="51" t="s">
        <v>21</v>
      </c>
      <c r="O67" s="52">
        <v>0.96786369150492546</v>
      </c>
      <c r="S67" s="91"/>
    </row>
    <row r="68" spans="6:19">
      <c r="N68" s="9" t="s">
        <v>32</v>
      </c>
      <c r="O68" s="52">
        <v>0.20011608833333336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Dora</cp:lastModifiedBy>
  <cp:lastPrinted>2019-06-07T20:06:27Z</cp:lastPrinted>
  <dcterms:created xsi:type="dcterms:W3CDTF">2018-08-23T14:00:28Z</dcterms:created>
  <dcterms:modified xsi:type="dcterms:W3CDTF">2020-10-11T22:13:37Z</dcterms:modified>
</cp:coreProperties>
</file>